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2" windowWidth="15600" windowHeight="7752" tabRatio="876" firstSheet="3" activeTab="13"/>
  </bookViews>
  <sheets>
    <sheet name="Бюджет-2017 г" sheetId="11" state="hidden" r:id="rId1"/>
    <sheet name="доп.ср-ва (в ФУ)" sheetId="38" state="hidden" r:id="rId2"/>
    <sheet name="доп.ср-ва" sheetId="36" state="hidden" r:id="rId3"/>
    <sheet name="СВОД" sheetId="31" r:id="rId4"/>
    <sheet name="СВОД (без МРОТ)" sheetId="37" state="hidden" r:id="rId5"/>
    <sheet name="ст.211,212,213" sheetId="21" r:id="rId6"/>
    <sheet name="ст.221" sheetId="22" r:id="rId7"/>
    <sheet name="ст.222" sheetId="23" r:id="rId8"/>
    <sheet name="ст.223" sheetId="24" r:id="rId9"/>
    <sheet name="ст.225" sheetId="25" r:id="rId10"/>
    <sheet name="ст.226-227" sheetId="26" r:id="rId11"/>
    <sheet name="ст.290" sheetId="27" r:id="rId12"/>
    <sheet name="ст.310" sheetId="28" r:id="rId13"/>
    <sheet name="ст.340 " sheetId="29" r:id="rId14"/>
    <sheet name="ШС1" sheetId="12" state="hidden" r:id="rId15"/>
    <sheet name="ШС2" sheetId="13" state="hidden" r:id="rId16"/>
    <sheet name="ШС3" sheetId="14" state="hidden" r:id="rId17"/>
    <sheet name="ШС4" sheetId="15" state="hidden" r:id="rId18"/>
    <sheet name="ШС5" sheetId="16" state="hidden" r:id="rId19"/>
    <sheet name="ШО2" sheetId="18" state="hidden" r:id="rId20"/>
    <sheet name="ШО2 (2)" sheetId="30" state="hidden" r:id="rId21"/>
    <sheet name="ШО3" sheetId="17" state="hidden" r:id="rId22"/>
    <sheet name="ШН2" sheetId="19" state="hidden" r:id="rId23"/>
    <sheet name="ст.211,212,213 (2)" sheetId="32" state="hidden" r:id="rId24"/>
    <sheet name="ст.225 (2)" sheetId="35" state="hidden" r:id="rId25"/>
    <sheet name="СВОД (2)" sheetId="34" state="hidden" r:id="rId26"/>
  </sheets>
  <definedNames>
    <definedName name="_xlnm.Print_Titles" localSheetId="3">СВОД!$A:$C</definedName>
    <definedName name="_xlnm.Print_Titles" localSheetId="4">'СВОД (без МРОТ)'!$A:$B</definedName>
    <definedName name="_xlnm.Print_Titles" localSheetId="5">'ст.211,212,213'!$A:$B,'ст.211,212,213'!$4:$5</definedName>
    <definedName name="_xlnm.Print_Titles" localSheetId="6">ст.221!$A:$B,ст.221!$4:$5</definedName>
    <definedName name="_xlnm.Print_Titles" localSheetId="7">ст.222!$A:$B,ст.222!$4:$5</definedName>
    <definedName name="_xlnm.Print_Titles" localSheetId="8">ст.223!$A:$B,ст.223!$4:$5</definedName>
    <definedName name="_xlnm.Print_Titles" localSheetId="9">ст.225!$A:$B,ст.225!$4:$5</definedName>
    <definedName name="_xlnm.Print_Titles" localSheetId="10">'ст.226-227'!$A:$B,'ст.226-227'!$4:$5</definedName>
    <definedName name="_xlnm.Print_Titles" localSheetId="11">ст.290!$A:$B,ст.290!$4:$5</definedName>
    <definedName name="_xlnm.Print_Titles" localSheetId="12">ст.310!$A:$B,ст.310!$4:$5</definedName>
    <definedName name="_xlnm.Print_Titles" localSheetId="13">'ст.340 '!$A:$B,'ст.340 '!$4:$5</definedName>
    <definedName name="_xlnm.Print_Area" localSheetId="0">'Бюджет-2017 г'!$A$1:$D$218</definedName>
    <definedName name="_xlnm.Print_Area" localSheetId="2">'доп.ср-ва'!$A$1:$O$18</definedName>
    <definedName name="_xlnm.Print_Area" localSheetId="1">'доп.ср-ва (в ФУ)'!$A$1:$O$16</definedName>
    <definedName name="_xlnm.Print_Area" localSheetId="3">СВОД!$A$1:$F$21</definedName>
    <definedName name="_xlnm.Print_Area" localSheetId="4">'СВОД (без МРОТ)'!$A$1:$AH$16</definedName>
    <definedName name="_xlnm.Print_Area" localSheetId="5">'ст.211,212,213'!$A$1:$G$47</definedName>
    <definedName name="_xlnm.Print_Area" localSheetId="23">'ст.211,212,213 (2)'!$A$1:$K$19</definedName>
    <definedName name="_xlnm.Print_Area" localSheetId="6">ст.221!$A$1:$G$43</definedName>
    <definedName name="_xlnm.Print_Area" localSheetId="7">ст.222!$A$1:$G$38</definedName>
    <definedName name="_xlnm.Print_Area" localSheetId="8">ст.223!$A$1:$G$53</definedName>
    <definedName name="_xlnm.Print_Area" localSheetId="9">ст.225!$A$1:$G$121</definedName>
    <definedName name="_xlnm.Print_Area" localSheetId="24">'ст.225 (2)'!$A$1:$K$111</definedName>
    <definedName name="_xlnm.Print_Area" localSheetId="10">'ст.226-227'!$A$1:$G$125</definedName>
    <definedName name="_xlnm.Print_Area" localSheetId="11">ст.290!$A$1:$H$20</definedName>
    <definedName name="_xlnm.Print_Area" localSheetId="12">ст.310!$A$1:$G$41</definedName>
    <definedName name="_xlnm.Print_Area" localSheetId="13">'ст.340 '!$A$1:$G$82</definedName>
    <definedName name="_xlnm.Print_Area" localSheetId="22">ШН2!$A$172:$C$243</definedName>
    <definedName name="_xlnm.Print_Area" localSheetId="19">ШО2!$A$167:$C$246</definedName>
    <definedName name="_xlnm.Print_Area" localSheetId="20">'ШО2 (2)'!$A$169:$C$246</definedName>
    <definedName name="_xlnm.Print_Area" localSheetId="21">ШО3!$A$176:$C$243</definedName>
    <definedName name="_xlnm.Print_Area" localSheetId="14">ШС1!$A$171:$C$243</definedName>
    <definedName name="_xlnm.Print_Area" localSheetId="15">ШС2!$A$176:$C$252</definedName>
    <definedName name="_xlnm.Print_Area" localSheetId="16">ШС3!$A$173:$C$243</definedName>
    <definedName name="_xlnm.Print_Area" localSheetId="17">ШС4!$A$176:$D$255</definedName>
    <definedName name="_xlnm.Print_Area" localSheetId="18">ШС5!$A$169:$C$246</definedName>
  </definedNames>
  <calcPr calcId="145621"/>
</workbook>
</file>

<file path=xl/calcChain.xml><?xml version="1.0" encoding="utf-8"?>
<calcChain xmlns="http://schemas.openxmlformats.org/spreadsheetml/2006/main">
  <c r="G22" i="24" l="1"/>
  <c r="F22" i="24"/>
  <c r="F18" i="24" s="1"/>
  <c r="E22" i="24"/>
  <c r="D22" i="24"/>
  <c r="C22" i="24"/>
  <c r="G19" i="24"/>
  <c r="G18" i="24" s="1"/>
  <c r="F19" i="24"/>
  <c r="E19" i="24"/>
  <c r="D19" i="24"/>
  <c r="D18" i="24" s="1"/>
  <c r="C19" i="24"/>
  <c r="C18" i="24" s="1"/>
  <c r="E18" i="24"/>
  <c r="G31" i="24"/>
  <c r="F31" i="24"/>
  <c r="E31" i="24"/>
  <c r="D31" i="24"/>
  <c r="C31" i="24"/>
  <c r="G28" i="24"/>
  <c r="F28" i="24"/>
  <c r="E28" i="24"/>
  <c r="D28" i="24"/>
  <c r="C28" i="24"/>
  <c r="G25" i="24"/>
  <c r="F25" i="24"/>
  <c r="E25" i="24"/>
  <c r="D25" i="24"/>
  <c r="C25" i="24"/>
  <c r="G15" i="24"/>
  <c r="F15" i="24"/>
  <c r="E15" i="24"/>
  <c r="D15" i="24"/>
  <c r="C15" i="24"/>
  <c r="G12" i="24"/>
  <c r="F12" i="24"/>
  <c r="E12" i="24"/>
  <c r="D12" i="24"/>
  <c r="C12" i="24"/>
  <c r="G9" i="24"/>
  <c r="F9" i="24"/>
  <c r="E9" i="24"/>
  <c r="D9" i="24"/>
  <c r="C9" i="24"/>
  <c r="G6" i="24"/>
  <c r="F6" i="24"/>
  <c r="E6" i="24"/>
  <c r="D6" i="24"/>
  <c r="C6" i="24"/>
  <c r="B15" i="31" l="1"/>
  <c r="B14" i="31"/>
  <c r="B13" i="31"/>
  <c r="B12" i="31"/>
  <c r="B11" i="31"/>
  <c r="B9" i="31"/>
  <c r="B8" i="31"/>
  <c r="B7" i="31"/>
  <c r="B6" i="31"/>
  <c r="B5" i="31"/>
  <c r="D70" i="29"/>
  <c r="E70" i="29"/>
  <c r="F70" i="29"/>
  <c r="G70" i="29"/>
  <c r="C70" i="29"/>
  <c r="D33" i="29"/>
  <c r="E33" i="29"/>
  <c r="F33" i="29"/>
  <c r="G33" i="29"/>
  <c r="C33" i="29"/>
  <c r="G23" i="29"/>
  <c r="F23" i="29"/>
  <c r="E23" i="29"/>
  <c r="D23" i="29"/>
  <c r="C23" i="29"/>
  <c r="C56" i="29"/>
  <c r="C52" i="29"/>
  <c r="C46" i="29"/>
  <c r="C28" i="29"/>
  <c r="C18" i="29"/>
  <c r="C13" i="29"/>
  <c r="C7" i="29"/>
  <c r="C73" i="29" s="1"/>
  <c r="C74" i="29" s="1"/>
  <c r="C5" i="29"/>
  <c r="C32" i="28"/>
  <c r="C26" i="28" s="1"/>
  <c r="C29" i="28"/>
  <c r="C22" i="28"/>
  <c r="C19" i="28"/>
  <c r="C15" i="28"/>
  <c r="C12" i="28"/>
  <c r="C9" i="28"/>
  <c r="C6" i="28"/>
  <c r="C39" i="28" s="1"/>
  <c r="C41" i="28" s="1"/>
  <c r="C5" i="28"/>
  <c r="C18" i="27"/>
  <c r="C20" i="27" s="1"/>
  <c r="C5" i="27"/>
  <c r="C99" i="26"/>
  <c r="C97" i="26"/>
  <c r="C95" i="26"/>
  <c r="C91" i="26"/>
  <c r="C87" i="26"/>
  <c r="C83" i="26"/>
  <c r="C81" i="26"/>
  <c r="C79" i="26"/>
  <c r="C74" i="26"/>
  <c r="C69" i="26"/>
  <c r="C64" i="26"/>
  <c r="C60" i="26"/>
  <c r="C56" i="26"/>
  <c r="C52" i="26"/>
  <c r="C50" i="26"/>
  <c r="C48" i="26"/>
  <c r="C46" i="26"/>
  <c r="C43" i="26"/>
  <c r="C40" i="26"/>
  <c r="C38" i="26"/>
  <c r="C35" i="26"/>
  <c r="C32" i="26"/>
  <c r="C28" i="26"/>
  <c r="C24" i="26"/>
  <c r="C20" i="26"/>
  <c r="C16" i="26"/>
  <c r="C12" i="26"/>
  <c r="C8" i="26"/>
  <c r="C110" i="26" s="1"/>
  <c r="C112" i="26" s="1"/>
  <c r="C6" i="26"/>
  <c r="C5" i="26"/>
  <c r="C90" i="25"/>
  <c r="C86" i="25"/>
  <c r="C83" i="25"/>
  <c r="C79" i="25"/>
  <c r="C77" i="25"/>
  <c r="C75" i="25"/>
  <c r="C70" i="25"/>
  <c r="C66" i="25"/>
  <c r="C62" i="25"/>
  <c r="C54" i="25"/>
  <c r="C50" i="25"/>
  <c r="C45" i="25"/>
  <c r="C41" i="25"/>
  <c r="C37" i="25"/>
  <c r="C33" i="25"/>
  <c r="C29" i="25"/>
  <c r="C25" i="25"/>
  <c r="C20" i="25"/>
  <c r="C17" i="25"/>
  <c r="C14" i="25" s="1"/>
  <c r="C10" i="25"/>
  <c r="C6" i="25"/>
  <c r="C5" i="25"/>
  <c r="C5" i="24"/>
  <c r="C17" i="23"/>
  <c r="C12" i="23" s="1"/>
  <c r="C10" i="23"/>
  <c r="C6" i="23"/>
  <c r="C5" i="23"/>
  <c r="C20" i="22"/>
  <c r="C17" i="22"/>
  <c r="C14" i="22"/>
  <c r="C10" i="22"/>
  <c r="C6" i="22"/>
  <c r="C31" i="22" s="1"/>
  <c r="C33" i="22" s="1"/>
  <c r="C5" i="22"/>
  <c r="C33" i="21"/>
  <c r="C37" i="21" s="1"/>
  <c r="C39" i="21" s="1"/>
  <c r="C30" i="21"/>
  <c r="C26" i="21"/>
  <c r="C22" i="21"/>
  <c r="C12" i="21"/>
  <c r="C9" i="21"/>
  <c r="C19" i="21" s="1"/>
  <c r="C6" i="21"/>
  <c r="C5" i="21"/>
  <c r="C109" i="25" l="1"/>
  <c r="C111" i="25" s="1"/>
  <c r="C43" i="24"/>
  <c r="C27" i="23"/>
  <c r="C29" i="23" s="1"/>
  <c r="C21" i="21"/>
  <c r="C25" i="21"/>
  <c r="C45" i="24" l="1"/>
  <c r="B10" i="31"/>
  <c r="B16" i="31" s="1"/>
  <c r="E31" i="22"/>
  <c r="F31" i="22"/>
  <c r="G31" i="22"/>
  <c r="D31" i="22"/>
  <c r="E27" i="23"/>
  <c r="F27" i="23"/>
  <c r="G27" i="23"/>
  <c r="D27" i="23"/>
  <c r="E18" i="27"/>
  <c r="F18" i="27"/>
  <c r="G18" i="27"/>
  <c r="D18" i="27"/>
  <c r="D8" i="31" l="1"/>
  <c r="E8" i="31"/>
  <c r="F8" i="31"/>
  <c r="D9" i="31"/>
  <c r="E9" i="31"/>
  <c r="F9" i="31"/>
  <c r="D11" i="31"/>
  <c r="E11" i="31"/>
  <c r="F11" i="31"/>
  <c r="D12" i="31"/>
  <c r="E12" i="31"/>
  <c r="F12" i="31"/>
  <c r="D13" i="31"/>
  <c r="E13" i="31"/>
  <c r="F13" i="31"/>
  <c r="D14" i="31"/>
  <c r="E14" i="31"/>
  <c r="F14" i="31"/>
  <c r="C14" i="31"/>
  <c r="C13" i="31"/>
  <c r="C12" i="31"/>
  <c r="C11" i="31"/>
  <c r="C9" i="31"/>
  <c r="C8" i="31"/>
  <c r="E22" i="21"/>
  <c r="F22" i="21"/>
  <c r="G22" i="21"/>
  <c r="D22" i="21"/>
  <c r="G28" i="29"/>
  <c r="F28" i="29"/>
  <c r="E28" i="29"/>
  <c r="D28" i="29"/>
  <c r="E13" i="29"/>
  <c r="F13" i="29"/>
  <c r="G13" i="29"/>
  <c r="D13" i="29"/>
  <c r="E7" i="29"/>
  <c r="F7" i="29"/>
  <c r="G7" i="29"/>
  <c r="D7" i="29"/>
  <c r="G5" i="29"/>
  <c r="F5" i="29"/>
  <c r="E5" i="29"/>
  <c r="D5" i="29"/>
  <c r="E56" i="29"/>
  <c r="E52" i="29"/>
  <c r="E46" i="29"/>
  <c r="E18" i="29"/>
  <c r="G32" i="28"/>
  <c r="F32" i="28"/>
  <c r="E32" i="28"/>
  <c r="D32" i="28"/>
  <c r="G29" i="28"/>
  <c r="F29" i="28"/>
  <c r="E29" i="28"/>
  <c r="D29" i="28"/>
  <c r="G26" i="28"/>
  <c r="F26" i="28"/>
  <c r="E26" i="28"/>
  <c r="D26" i="28"/>
  <c r="G22" i="28"/>
  <c r="F22" i="28"/>
  <c r="E22" i="28"/>
  <c r="D22" i="28"/>
  <c r="G19" i="28"/>
  <c r="F19" i="28"/>
  <c r="E19" i="28"/>
  <c r="D19" i="28"/>
  <c r="G15" i="28"/>
  <c r="F15" i="28"/>
  <c r="E15" i="28"/>
  <c r="D15" i="28"/>
  <c r="D39" i="28"/>
  <c r="E39" i="28"/>
  <c r="F39" i="28"/>
  <c r="G39" i="28"/>
  <c r="D41" i="28"/>
  <c r="E41" i="28"/>
  <c r="F41" i="28"/>
  <c r="G41" i="28"/>
  <c r="G5" i="28"/>
  <c r="F5" i="28"/>
  <c r="E5" i="28"/>
  <c r="D5" i="28"/>
  <c r="E12" i="28"/>
  <c r="E9" i="28"/>
  <c r="E6" i="28"/>
  <c r="G5" i="27"/>
  <c r="F5" i="27"/>
  <c r="E5" i="27"/>
  <c r="D5" i="27"/>
  <c r="E20" i="27"/>
  <c r="E112" i="26"/>
  <c r="F112" i="26"/>
  <c r="G112" i="26"/>
  <c r="D112" i="26"/>
  <c r="E110" i="26"/>
  <c r="F110" i="26"/>
  <c r="G110" i="26"/>
  <c r="D8" i="26"/>
  <c r="G99" i="26"/>
  <c r="F99" i="26"/>
  <c r="E99" i="26"/>
  <c r="D99" i="26"/>
  <c r="E97" i="26"/>
  <c r="F97" i="26"/>
  <c r="G97" i="26"/>
  <c r="D97" i="26"/>
  <c r="G95" i="26"/>
  <c r="F95" i="26"/>
  <c r="E95" i="26"/>
  <c r="D95" i="26"/>
  <c r="E81" i="26"/>
  <c r="F81" i="26"/>
  <c r="G81" i="26"/>
  <c r="D81" i="26"/>
  <c r="E79" i="26"/>
  <c r="F79" i="26"/>
  <c r="G79" i="26"/>
  <c r="D79" i="26"/>
  <c r="G50" i="26"/>
  <c r="F50" i="26"/>
  <c r="E50" i="26"/>
  <c r="D50" i="26"/>
  <c r="E48" i="26"/>
  <c r="F48" i="26"/>
  <c r="G48" i="26"/>
  <c r="D48" i="26"/>
  <c r="G46" i="26"/>
  <c r="E46" i="26"/>
  <c r="F46" i="26"/>
  <c r="D46" i="26"/>
  <c r="E38" i="26"/>
  <c r="F38" i="26"/>
  <c r="G38" i="26"/>
  <c r="D38" i="26"/>
  <c r="E6" i="26"/>
  <c r="F6" i="26"/>
  <c r="G6" i="26"/>
  <c r="D6" i="26"/>
  <c r="G5" i="26"/>
  <c r="F5" i="26"/>
  <c r="E5" i="26"/>
  <c r="D5" i="26"/>
  <c r="E91" i="26"/>
  <c r="E87" i="26"/>
  <c r="E83" i="26"/>
  <c r="E74" i="26"/>
  <c r="E69" i="26"/>
  <c r="E64" i="26"/>
  <c r="E60" i="26"/>
  <c r="E56" i="26"/>
  <c r="E52" i="26"/>
  <c r="E43" i="26"/>
  <c r="E40" i="26"/>
  <c r="E35" i="26"/>
  <c r="E32" i="26"/>
  <c r="E28" i="26"/>
  <c r="E24" i="26"/>
  <c r="E20" i="26"/>
  <c r="E16" i="26"/>
  <c r="E12" i="26"/>
  <c r="E8" i="26"/>
  <c r="E109" i="25"/>
  <c r="F109" i="25"/>
  <c r="G109" i="25"/>
  <c r="D109" i="25"/>
  <c r="E86" i="25"/>
  <c r="F86" i="25"/>
  <c r="G86" i="25"/>
  <c r="D86" i="25"/>
  <c r="D75" i="25"/>
  <c r="E90" i="25"/>
  <c r="F90" i="25"/>
  <c r="G90" i="25"/>
  <c r="D90" i="25"/>
  <c r="G83" i="25"/>
  <c r="F83" i="25"/>
  <c r="E83" i="25"/>
  <c r="D83" i="25"/>
  <c r="G79" i="25"/>
  <c r="F79" i="25"/>
  <c r="E79" i="25"/>
  <c r="D79" i="25"/>
  <c r="G77" i="25"/>
  <c r="F77" i="25"/>
  <c r="E77" i="25"/>
  <c r="D77" i="25"/>
  <c r="E75" i="25"/>
  <c r="F75" i="25"/>
  <c r="G75" i="25"/>
  <c r="E54" i="25"/>
  <c r="D54" i="25"/>
  <c r="G29" i="25"/>
  <c r="F29" i="25"/>
  <c r="E29" i="25"/>
  <c r="D29" i="25"/>
  <c r="G17" i="25"/>
  <c r="G14" i="25" s="1"/>
  <c r="F17" i="25"/>
  <c r="F14" i="25" s="1"/>
  <c r="E17" i="25"/>
  <c r="E14" i="25" s="1"/>
  <c r="D17" i="25"/>
  <c r="D14" i="25" s="1"/>
  <c r="G5" i="25"/>
  <c r="F5" i="25"/>
  <c r="E5" i="25"/>
  <c r="D5" i="25"/>
  <c r="G5" i="24"/>
  <c r="F5" i="24"/>
  <c r="E5" i="24"/>
  <c r="D5" i="24"/>
  <c r="G17" i="23"/>
  <c r="F17" i="23"/>
  <c r="E17" i="23"/>
  <c r="D17" i="23"/>
  <c r="E10" i="23"/>
  <c r="F10" i="23"/>
  <c r="G10" i="23"/>
  <c r="D10" i="23"/>
  <c r="G5" i="23"/>
  <c r="F5" i="23"/>
  <c r="E5" i="23"/>
  <c r="D5" i="23"/>
  <c r="G5" i="22"/>
  <c r="F5" i="22"/>
  <c r="E5" i="22"/>
  <c r="D5" i="22"/>
  <c r="D6" i="22"/>
  <c r="E6" i="22"/>
  <c r="F6" i="22"/>
  <c r="G6" i="22"/>
  <c r="D10" i="22"/>
  <c r="E10" i="22"/>
  <c r="F10" i="22"/>
  <c r="G10" i="22"/>
  <c r="D14" i="22"/>
  <c r="E14" i="22"/>
  <c r="F14" i="22"/>
  <c r="G14" i="22"/>
  <c r="D17" i="22"/>
  <c r="E17" i="22"/>
  <c r="F17" i="22"/>
  <c r="G17" i="22"/>
  <c r="D20" i="22"/>
  <c r="E20" i="22"/>
  <c r="F20" i="22"/>
  <c r="G20" i="22"/>
  <c r="E33" i="22"/>
  <c r="F33" i="22"/>
  <c r="G30" i="21"/>
  <c r="E30" i="21"/>
  <c r="D30" i="21"/>
  <c r="E26" i="21"/>
  <c r="F26" i="21"/>
  <c r="G26" i="21"/>
  <c r="D26" i="21"/>
  <c r="E12" i="21"/>
  <c r="F12" i="21"/>
  <c r="G12" i="21"/>
  <c r="D12" i="21"/>
  <c r="E5" i="21"/>
  <c r="F5" i="21"/>
  <c r="G5" i="21"/>
  <c r="D5" i="21"/>
  <c r="E73" i="29" l="1"/>
  <c r="G33" i="22"/>
  <c r="D33" i="22"/>
  <c r="J8" i="36"/>
  <c r="O15" i="38"/>
  <c r="M15" i="38"/>
  <c r="K15" i="38"/>
  <c r="I15" i="38"/>
  <c r="H15" i="38"/>
  <c r="G15" i="38"/>
  <c r="F15" i="38"/>
  <c r="E15" i="38"/>
  <c r="D15" i="38"/>
  <c r="N14" i="38"/>
  <c r="J14" i="38"/>
  <c r="C14" i="38"/>
  <c r="C13" i="38"/>
  <c r="C12" i="38"/>
  <c r="J11" i="38"/>
  <c r="C11" i="38"/>
  <c r="J10" i="38"/>
  <c r="C10" i="38"/>
  <c r="J9" i="38"/>
  <c r="C9" i="38"/>
  <c r="N8" i="38"/>
  <c r="N15" i="38" s="1"/>
  <c r="J8" i="38"/>
  <c r="C8" i="38" s="1"/>
  <c r="J7" i="38"/>
  <c r="J15" i="38" s="1"/>
  <c r="E74" i="29" l="1"/>
  <c r="D15" i="31"/>
  <c r="P15" i="38"/>
  <c r="Q15" i="38" s="1"/>
  <c r="C7" i="38"/>
  <c r="C15" i="38" s="1"/>
  <c r="N8" i="36" l="1"/>
  <c r="AI16" i="37" l="1"/>
  <c r="AJ16" i="37"/>
  <c r="AH18" i="37" l="1"/>
  <c r="AG18" i="37"/>
  <c r="AF18" i="37"/>
  <c r="AE18" i="37"/>
  <c r="AD18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H18" i="37"/>
  <c r="G18" i="37"/>
  <c r="AH15" i="37"/>
  <c r="AG15" i="37"/>
  <c r="AD15" i="37"/>
  <c r="AC15" i="37"/>
  <c r="AB15" i="37"/>
  <c r="AA15" i="37"/>
  <c r="AH14" i="37"/>
  <c r="AG14" i="37"/>
  <c r="AD14" i="37"/>
  <c r="AC14" i="37"/>
  <c r="AB14" i="37"/>
  <c r="AA14" i="37"/>
  <c r="AH13" i="37"/>
  <c r="AH16" i="37" s="1"/>
  <c r="AG13" i="37"/>
  <c r="AF13" i="37"/>
  <c r="AE13" i="37"/>
  <c r="AD13" i="37"/>
  <c r="AC13" i="37"/>
  <c r="AB13" i="37"/>
  <c r="AA13" i="37"/>
  <c r="AD12" i="37"/>
  <c r="AC12" i="37"/>
  <c r="AB12" i="37"/>
  <c r="AA12" i="37"/>
  <c r="AD11" i="37"/>
  <c r="AC11" i="37"/>
  <c r="AB11" i="37"/>
  <c r="AA11" i="37"/>
  <c r="AD10" i="37"/>
  <c r="AC10" i="37"/>
  <c r="AB10" i="37"/>
  <c r="AA10" i="37"/>
  <c r="AD9" i="37"/>
  <c r="AC9" i="37"/>
  <c r="AB9" i="37"/>
  <c r="AA9" i="37"/>
  <c r="AD8" i="37"/>
  <c r="AC8" i="37"/>
  <c r="AB8" i="37"/>
  <c r="AA8" i="37"/>
  <c r="L8" i="37"/>
  <c r="K8" i="37"/>
  <c r="F7" i="37"/>
  <c r="H7" i="37" s="1"/>
  <c r="J7" i="37" s="1"/>
  <c r="L7" i="37" s="1"/>
  <c r="N7" i="37" s="1"/>
  <c r="P7" i="37" s="1"/>
  <c r="R7" i="37" s="1"/>
  <c r="T7" i="37" s="1"/>
  <c r="V7" i="37" s="1"/>
  <c r="X7" i="37" s="1"/>
  <c r="Z7" i="37" s="1"/>
  <c r="AB7" i="37" s="1"/>
  <c r="AD7" i="37" s="1"/>
  <c r="AF7" i="37" s="1"/>
  <c r="AH7" i="37" s="1"/>
  <c r="E7" i="37"/>
  <c r="G7" i="37" s="1"/>
  <c r="I7" i="37" s="1"/>
  <c r="K7" i="37" s="1"/>
  <c r="M7" i="37" s="1"/>
  <c r="O7" i="37" s="1"/>
  <c r="Q7" i="37" s="1"/>
  <c r="S7" i="37" s="1"/>
  <c r="U7" i="37" s="1"/>
  <c r="W7" i="37" s="1"/>
  <c r="Y7" i="37" s="1"/>
  <c r="AA7" i="37" s="1"/>
  <c r="AC7" i="37" s="1"/>
  <c r="AE7" i="37" s="1"/>
  <c r="AG7" i="37" s="1"/>
  <c r="AC16" i="37" l="1"/>
  <c r="AA16" i="37"/>
  <c r="AB16" i="37"/>
  <c r="AD16" i="37"/>
  <c r="AG16" i="37"/>
  <c r="N14" i="36" l="1"/>
  <c r="AF14" i="37" l="1"/>
  <c r="AF16" i="37" s="1"/>
  <c r="Z10" i="37"/>
  <c r="G56" i="29"/>
  <c r="G52" i="29"/>
  <c r="G46" i="29"/>
  <c r="G18" i="29"/>
  <c r="X11" i="37"/>
  <c r="X9" i="37"/>
  <c r="G12" i="28"/>
  <c r="G9" i="28"/>
  <c r="G6" i="28"/>
  <c r="V11" i="37"/>
  <c r="V15" i="37"/>
  <c r="V14" i="37"/>
  <c r="V12" i="37"/>
  <c r="V8" i="37"/>
  <c r="G91" i="26"/>
  <c r="G87" i="26"/>
  <c r="G83" i="26"/>
  <c r="G74" i="26"/>
  <c r="G69" i="26"/>
  <c r="G64" i="26"/>
  <c r="G60" i="26"/>
  <c r="G56" i="26"/>
  <c r="G52" i="26"/>
  <c r="G43" i="26"/>
  <c r="G40" i="26"/>
  <c r="G35" i="26"/>
  <c r="G32" i="26"/>
  <c r="G28" i="26"/>
  <c r="G24" i="26"/>
  <c r="G20" i="26"/>
  <c r="G16" i="26"/>
  <c r="G12" i="26"/>
  <c r="G8" i="26"/>
  <c r="G70" i="25"/>
  <c r="G66" i="25"/>
  <c r="G62" i="25"/>
  <c r="G54" i="25"/>
  <c r="G50" i="25"/>
  <c r="G45" i="25"/>
  <c r="G41" i="25"/>
  <c r="G37" i="25"/>
  <c r="G33" i="25"/>
  <c r="G25" i="25"/>
  <c r="G20" i="25"/>
  <c r="G10" i="25"/>
  <c r="G6" i="25"/>
  <c r="P9" i="37"/>
  <c r="N15" i="37"/>
  <c r="N14" i="37"/>
  <c r="N13" i="37"/>
  <c r="N9" i="37"/>
  <c r="G12" i="23"/>
  <c r="G6" i="23"/>
  <c r="L13" i="37"/>
  <c r="G43" i="24" l="1"/>
  <c r="F10" i="31" s="1"/>
  <c r="Z8" i="37"/>
  <c r="Z9" i="37"/>
  <c r="X13" i="37"/>
  <c r="X12" i="37"/>
  <c r="X10" i="37"/>
  <c r="V9" i="37"/>
  <c r="V16" i="37" s="1"/>
  <c r="V19" i="37" s="1"/>
  <c r="V13" i="37"/>
  <c r="V10" i="37"/>
  <c r="R8" i="37"/>
  <c r="R11" i="37"/>
  <c r="R10" i="37"/>
  <c r="R13" i="37"/>
  <c r="R9" i="37"/>
  <c r="R12" i="37"/>
  <c r="R14" i="37"/>
  <c r="N11" i="37"/>
  <c r="G29" i="23"/>
  <c r="N8" i="37"/>
  <c r="N12" i="37"/>
  <c r="N10" i="37"/>
  <c r="L12" i="37"/>
  <c r="R15" i="37"/>
  <c r="L15" i="37"/>
  <c r="X14" i="37"/>
  <c r="L14" i="37"/>
  <c r="Z13" i="37"/>
  <c r="Z12" i="37"/>
  <c r="L11" i="37"/>
  <c r="P10" i="37"/>
  <c r="L10" i="37"/>
  <c r="G20" i="27"/>
  <c r="P8" i="37"/>
  <c r="P13" i="37"/>
  <c r="P11" i="37"/>
  <c r="H15" i="37"/>
  <c r="G33" i="21"/>
  <c r="G9" i="21"/>
  <c r="G6" i="21"/>
  <c r="AE14" i="37"/>
  <c r="AE16" i="37" s="1"/>
  <c r="Z14" i="37" l="1"/>
  <c r="G73" i="29"/>
  <c r="Z11" i="37"/>
  <c r="Z16" i="37" s="1"/>
  <c r="Z19" i="37" s="1"/>
  <c r="Z15" i="37"/>
  <c r="X15" i="37"/>
  <c r="X8" i="37"/>
  <c r="X16" i="37" s="1"/>
  <c r="X19" i="37" s="1"/>
  <c r="T10" i="37"/>
  <c r="T15" i="37"/>
  <c r="T8" i="37"/>
  <c r="T14" i="37"/>
  <c r="T9" i="37"/>
  <c r="T12" i="37"/>
  <c r="T13" i="37"/>
  <c r="T11" i="37"/>
  <c r="G111" i="25"/>
  <c r="R16" i="37"/>
  <c r="R19" i="37" s="1"/>
  <c r="P12" i="37"/>
  <c r="P16" i="37" s="1"/>
  <c r="P19" i="37" s="1"/>
  <c r="P14" i="37"/>
  <c r="P15" i="37"/>
  <c r="N16" i="37"/>
  <c r="N19" i="37" s="1"/>
  <c r="L9" i="37"/>
  <c r="L16" i="37" s="1"/>
  <c r="L19" i="37" s="1"/>
  <c r="L18" i="37"/>
  <c r="H9" i="37"/>
  <c r="H13" i="37"/>
  <c r="F9" i="37"/>
  <c r="G37" i="21"/>
  <c r="H10" i="37"/>
  <c r="H12" i="37"/>
  <c r="H14" i="37"/>
  <c r="H11" i="37"/>
  <c r="G45" i="24"/>
  <c r="J10" i="37"/>
  <c r="G19" i="21"/>
  <c r="J13" i="37"/>
  <c r="J11" i="37"/>
  <c r="J9" i="37"/>
  <c r="H8" i="37" l="1"/>
  <c r="H16" i="37" s="1"/>
  <c r="H19" i="37" s="1"/>
  <c r="F6" i="31"/>
  <c r="G39" i="21"/>
  <c r="F5" i="31"/>
  <c r="G74" i="29"/>
  <c r="F15" i="31"/>
  <c r="T16" i="37"/>
  <c r="T19" i="37" s="1"/>
  <c r="F8" i="37"/>
  <c r="F15" i="37"/>
  <c r="G21" i="21"/>
  <c r="F13" i="37"/>
  <c r="D13" i="37" s="1"/>
  <c r="AL13" i="37" s="1"/>
  <c r="F14" i="37"/>
  <c r="D9" i="37"/>
  <c r="AL9" i="37" s="1"/>
  <c r="J14" i="37"/>
  <c r="F11" i="37"/>
  <c r="D11" i="37" s="1"/>
  <c r="AL11" i="37" s="1"/>
  <c r="J15" i="37"/>
  <c r="F12" i="37"/>
  <c r="F10" i="37"/>
  <c r="J8" i="37" l="1"/>
  <c r="D8" i="37" s="1"/>
  <c r="AL8" i="37" s="1"/>
  <c r="F7" i="31"/>
  <c r="F16" i="31" s="1"/>
  <c r="G25" i="21"/>
  <c r="D14" i="37"/>
  <c r="AL14" i="37" s="1"/>
  <c r="D15" i="37"/>
  <c r="AL15" i="37" s="1"/>
  <c r="J16" i="37"/>
  <c r="J12" i="37"/>
  <c r="D12" i="37" s="1"/>
  <c r="AL12" i="37" s="1"/>
  <c r="D10" i="37"/>
  <c r="F16" i="37"/>
  <c r="F18" i="37"/>
  <c r="AL16" i="37" l="1"/>
  <c r="F19" i="37"/>
  <c r="J18" i="37"/>
  <c r="J19" i="37" s="1"/>
  <c r="D18" i="37"/>
  <c r="AL10" i="37"/>
  <c r="D16" i="37"/>
  <c r="D19" i="37" l="1"/>
  <c r="F30" i="21" l="1"/>
  <c r="F45" i="25"/>
  <c r="E45" i="25"/>
  <c r="U9" i="37"/>
  <c r="F64" i="26"/>
  <c r="D64" i="26"/>
  <c r="C8" i="36" l="1"/>
  <c r="N15" i="36"/>
  <c r="C14" i="36"/>
  <c r="C13" i="36"/>
  <c r="C12" i="36"/>
  <c r="C11" i="36"/>
  <c r="C10" i="36"/>
  <c r="C9" i="36"/>
  <c r="O15" i="36"/>
  <c r="M15" i="36"/>
  <c r="K15" i="36"/>
  <c r="I15" i="36"/>
  <c r="H15" i="36"/>
  <c r="G15" i="36"/>
  <c r="F15" i="36"/>
  <c r="E15" i="36"/>
  <c r="D15" i="36"/>
  <c r="D12" i="28"/>
  <c r="D9" i="28"/>
  <c r="D6" i="28"/>
  <c r="H18" i="27"/>
  <c r="H20" i="27" s="1"/>
  <c r="D20" i="27"/>
  <c r="F69" i="26"/>
  <c r="F8" i="26"/>
  <c r="D91" i="26"/>
  <c r="D87" i="26"/>
  <c r="D83" i="26"/>
  <c r="D74" i="26"/>
  <c r="D69" i="26"/>
  <c r="D60" i="26"/>
  <c r="D56" i="26"/>
  <c r="D52" i="26"/>
  <c r="D43" i="26"/>
  <c r="D40" i="26"/>
  <c r="D35" i="26"/>
  <c r="D32" i="26"/>
  <c r="D28" i="26"/>
  <c r="D24" i="26"/>
  <c r="D20" i="26"/>
  <c r="D16" i="26"/>
  <c r="D12" i="26"/>
  <c r="D56" i="29"/>
  <c r="D52" i="29"/>
  <c r="D46" i="29"/>
  <c r="D18" i="29"/>
  <c r="F54" i="25"/>
  <c r="E70" i="25"/>
  <c r="E66" i="25"/>
  <c r="E62" i="25"/>
  <c r="E50" i="25"/>
  <c r="E41" i="25"/>
  <c r="E37" i="25"/>
  <c r="E33" i="25"/>
  <c r="E25" i="25"/>
  <c r="E20" i="25"/>
  <c r="E10" i="25"/>
  <c r="E6" i="25"/>
  <c r="A2" i="29"/>
  <c r="A2" i="28"/>
  <c r="A2" i="27"/>
  <c r="A2" i="26"/>
  <c r="A2" i="25"/>
  <c r="A2" i="24"/>
  <c r="A2" i="23"/>
  <c r="A2" i="22"/>
  <c r="E12" i="23"/>
  <c r="E6" i="23"/>
  <c r="F33" i="21"/>
  <c r="F37" i="21" s="1"/>
  <c r="F9" i="21"/>
  <c r="F6" i="21"/>
  <c r="E43" i="24" l="1"/>
  <c r="D10" i="31" s="1"/>
  <c r="G8" i="37"/>
  <c r="E6" i="31"/>
  <c r="F39" i="21"/>
  <c r="D73" i="29"/>
  <c r="C15" i="31" s="1"/>
  <c r="D110" i="26"/>
  <c r="I9" i="37"/>
  <c r="E29" i="23"/>
  <c r="C7" i="36"/>
  <c r="C15" i="36" s="1"/>
  <c r="J15" i="36"/>
  <c r="P15" i="36" s="1"/>
  <c r="F19" i="21"/>
  <c r="E5" i="31" l="1"/>
  <c r="F21" i="21"/>
  <c r="E8" i="37"/>
  <c r="E45" i="24"/>
  <c r="D74" i="29"/>
  <c r="Q15" i="36"/>
  <c r="E111" i="25"/>
  <c r="I8" i="37" l="1"/>
  <c r="E7" i="31"/>
  <c r="F25" i="21"/>
  <c r="Q14" i="37"/>
  <c r="Q11" i="37"/>
  <c r="F70" i="25"/>
  <c r="F66" i="25"/>
  <c r="F62" i="25"/>
  <c r="F50" i="25"/>
  <c r="F41" i="25"/>
  <c r="F37" i="25"/>
  <c r="F33" i="25"/>
  <c r="F25" i="25"/>
  <c r="F20" i="25"/>
  <c r="F10" i="25"/>
  <c r="F6" i="25"/>
  <c r="F43" i="24"/>
  <c r="E10" i="31" s="1"/>
  <c r="F12" i="23"/>
  <c r="F6" i="23"/>
  <c r="K13" i="37"/>
  <c r="G12" i="37"/>
  <c r="G10" i="37"/>
  <c r="G9" i="37"/>
  <c r="Q8" i="37" l="1"/>
  <c r="Q10" i="37"/>
  <c r="Q12" i="37"/>
  <c r="Q9" i="37"/>
  <c r="Q13" i="37"/>
  <c r="K10" i="37"/>
  <c r="K15" i="37"/>
  <c r="K12" i="37"/>
  <c r="K14" i="37"/>
  <c r="K11" i="37"/>
  <c r="M10" i="37"/>
  <c r="M11" i="37"/>
  <c r="M12" i="37"/>
  <c r="M13" i="37"/>
  <c r="M14" i="37"/>
  <c r="O11" i="37"/>
  <c r="M9" i="37"/>
  <c r="O12" i="37"/>
  <c r="O14" i="37"/>
  <c r="M8" i="37"/>
  <c r="E9" i="37"/>
  <c r="E12" i="37"/>
  <c r="O8" i="37"/>
  <c r="O9" i="37"/>
  <c r="O10" i="37"/>
  <c r="O13" i="37"/>
  <c r="E33" i="21"/>
  <c r="E37" i="21" s="1"/>
  <c r="E9" i="21"/>
  <c r="E6" i="21"/>
  <c r="E39" i="21" l="1"/>
  <c r="D6" i="31"/>
  <c r="K9" i="37"/>
  <c r="K18" i="37"/>
  <c r="I10" i="37"/>
  <c r="E10" i="37"/>
  <c r="I12" i="37"/>
  <c r="F29" i="23"/>
  <c r="E19" i="21"/>
  <c r="F45" i="24"/>
  <c r="F111" i="25"/>
  <c r="D5" i="31" l="1"/>
  <c r="E21" i="21"/>
  <c r="D7" i="31" s="1"/>
  <c r="K16" i="37"/>
  <c r="K19" i="37" s="1"/>
  <c r="G15" i="37"/>
  <c r="D9" i="21"/>
  <c r="G13" i="37"/>
  <c r="G14" i="37"/>
  <c r="E25" i="21" l="1"/>
  <c r="D16" i="31"/>
  <c r="E13" i="37"/>
  <c r="E15" i="37"/>
  <c r="E14" i="37"/>
  <c r="I13" i="37" l="1"/>
  <c r="I15" i="37"/>
  <c r="I14" i="37"/>
  <c r="G11" i="37" l="1"/>
  <c r="I7" i="32"/>
  <c r="H7" i="32"/>
  <c r="I9" i="32"/>
  <c r="I6" i="32"/>
  <c r="H9" i="32"/>
  <c r="H6" i="32"/>
  <c r="G16" i="37" l="1"/>
  <c r="G19" i="37" s="1"/>
  <c r="G107" i="35"/>
  <c r="J106" i="35"/>
  <c r="G106" i="35"/>
  <c r="C106" i="35" s="1"/>
  <c r="F106" i="35"/>
  <c r="J105" i="35"/>
  <c r="C105" i="35" s="1"/>
  <c r="F102" i="35"/>
  <c r="F101" i="35"/>
  <c r="F100" i="35"/>
  <c r="C100" i="35" s="1"/>
  <c r="I99" i="35"/>
  <c r="G99" i="35"/>
  <c r="F99" i="35"/>
  <c r="F98" i="35"/>
  <c r="C98" i="35" s="1"/>
  <c r="E97" i="35"/>
  <c r="C97" i="35" s="1"/>
  <c r="I95" i="35"/>
  <c r="C95" i="35" s="1"/>
  <c r="C107" i="35"/>
  <c r="C104" i="35"/>
  <c r="C103" i="35"/>
  <c r="C102" i="35"/>
  <c r="C101" i="35"/>
  <c r="C96" i="35"/>
  <c r="I93" i="35"/>
  <c r="C93" i="35" s="1"/>
  <c r="C92" i="35"/>
  <c r="I90" i="35"/>
  <c r="K88" i="35"/>
  <c r="J88" i="35"/>
  <c r="I88" i="35"/>
  <c r="H88" i="35"/>
  <c r="G88" i="35"/>
  <c r="F88" i="35"/>
  <c r="E88" i="35"/>
  <c r="D88" i="35"/>
  <c r="C88" i="35"/>
  <c r="K85" i="35"/>
  <c r="J85" i="35"/>
  <c r="I85" i="35"/>
  <c r="H85" i="35"/>
  <c r="G85" i="35"/>
  <c r="F85" i="35"/>
  <c r="E85" i="35"/>
  <c r="D85" i="35"/>
  <c r="C85" i="35" s="1"/>
  <c r="I84" i="35"/>
  <c r="K82" i="35"/>
  <c r="J82" i="35"/>
  <c r="I82" i="35"/>
  <c r="H82" i="35"/>
  <c r="G82" i="35"/>
  <c r="F82" i="35"/>
  <c r="E82" i="35"/>
  <c r="C82" i="35" s="1"/>
  <c r="D82" i="35"/>
  <c r="K78" i="35"/>
  <c r="J78" i="35"/>
  <c r="I78" i="35"/>
  <c r="H78" i="35"/>
  <c r="G78" i="35"/>
  <c r="F78" i="35"/>
  <c r="E78" i="35"/>
  <c r="D78" i="35"/>
  <c r="C78" i="35"/>
  <c r="C77" i="35"/>
  <c r="C76" i="35"/>
  <c r="E74" i="35"/>
  <c r="K72" i="35"/>
  <c r="J72" i="35"/>
  <c r="I72" i="35"/>
  <c r="H72" i="35"/>
  <c r="G72" i="35"/>
  <c r="F72" i="35"/>
  <c r="E72" i="35"/>
  <c r="D72" i="35"/>
  <c r="C72" i="35"/>
  <c r="C68" i="35"/>
  <c r="K66" i="35"/>
  <c r="K63" i="35" s="1"/>
  <c r="J63" i="35"/>
  <c r="I63" i="35"/>
  <c r="H63" i="35"/>
  <c r="G63" i="35"/>
  <c r="F63" i="35"/>
  <c r="E63" i="35"/>
  <c r="D63" i="35"/>
  <c r="K59" i="35"/>
  <c r="J59" i="35"/>
  <c r="I59" i="35"/>
  <c r="H59" i="35"/>
  <c r="G59" i="35"/>
  <c r="F59" i="35"/>
  <c r="E59" i="35"/>
  <c r="D59" i="35"/>
  <c r="C59" i="35"/>
  <c r="K55" i="35"/>
  <c r="J55" i="35"/>
  <c r="I55" i="35"/>
  <c r="H55" i="35"/>
  <c r="G55" i="35"/>
  <c r="F55" i="35"/>
  <c r="E55" i="35"/>
  <c r="D55" i="35"/>
  <c r="C55" i="35" s="1"/>
  <c r="K47" i="35"/>
  <c r="J47" i="35"/>
  <c r="I47" i="35"/>
  <c r="H47" i="35"/>
  <c r="G47" i="35"/>
  <c r="F47" i="35"/>
  <c r="E47" i="35"/>
  <c r="D47" i="35"/>
  <c r="C47" i="35" s="1"/>
  <c r="C46" i="35"/>
  <c r="C45" i="35"/>
  <c r="K41" i="35"/>
  <c r="J41" i="35"/>
  <c r="I41" i="35"/>
  <c r="H41" i="35"/>
  <c r="G41" i="35"/>
  <c r="F41" i="35"/>
  <c r="E41" i="35"/>
  <c r="D41" i="35"/>
  <c r="C41" i="35" s="1"/>
  <c r="I39" i="35"/>
  <c r="K37" i="35"/>
  <c r="J37" i="35"/>
  <c r="I37" i="35"/>
  <c r="H37" i="35"/>
  <c r="G37" i="35"/>
  <c r="F37" i="35"/>
  <c r="E37" i="35"/>
  <c r="C37" i="35" s="1"/>
  <c r="D37" i="35"/>
  <c r="K34" i="35"/>
  <c r="J34" i="35"/>
  <c r="I34" i="35"/>
  <c r="H34" i="35"/>
  <c r="G34" i="35"/>
  <c r="F34" i="35"/>
  <c r="E34" i="35"/>
  <c r="D34" i="35"/>
  <c r="C34" i="35"/>
  <c r="K30" i="35"/>
  <c r="J30" i="35"/>
  <c r="I30" i="35"/>
  <c r="H30" i="35"/>
  <c r="G30" i="35"/>
  <c r="F30" i="35"/>
  <c r="E30" i="35"/>
  <c r="D30" i="35"/>
  <c r="C30" i="35" s="1"/>
  <c r="I28" i="35"/>
  <c r="K26" i="35"/>
  <c r="J26" i="35"/>
  <c r="I26" i="35"/>
  <c r="H26" i="35"/>
  <c r="G26" i="35"/>
  <c r="F26" i="35"/>
  <c r="E26" i="35"/>
  <c r="C26" i="35" s="1"/>
  <c r="D26" i="35"/>
  <c r="K22" i="35"/>
  <c r="J22" i="35"/>
  <c r="I22" i="35"/>
  <c r="H22" i="35"/>
  <c r="G22" i="35"/>
  <c r="F22" i="35"/>
  <c r="E22" i="35"/>
  <c r="D22" i="35"/>
  <c r="C22" i="35"/>
  <c r="K18" i="35"/>
  <c r="J18" i="35"/>
  <c r="I18" i="35"/>
  <c r="H18" i="35"/>
  <c r="G18" i="35"/>
  <c r="F18" i="35"/>
  <c r="E18" i="35"/>
  <c r="D18" i="35"/>
  <c r="C18" i="35" s="1"/>
  <c r="I16" i="35"/>
  <c r="K13" i="35"/>
  <c r="J13" i="35"/>
  <c r="I13" i="35"/>
  <c r="H13" i="35"/>
  <c r="G13" i="35"/>
  <c r="F13" i="35"/>
  <c r="E13" i="35"/>
  <c r="C13" i="35" s="1"/>
  <c r="D13" i="35"/>
  <c r="K11" i="35"/>
  <c r="J11" i="35"/>
  <c r="I11" i="35"/>
  <c r="H11" i="35"/>
  <c r="G11" i="35"/>
  <c r="F11" i="35"/>
  <c r="E11" i="35"/>
  <c r="D11" i="35"/>
  <c r="K9" i="35"/>
  <c r="J9" i="35"/>
  <c r="I9" i="35"/>
  <c r="H9" i="35"/>
  <c r="G9" i="35"/>
  <c r="F9" i="35"/>
  <c r="E9" i="35"/>
  <c r="D9" i="35"/>
  <c r="K5" i="35"/>
  <c r="J5" i="35"/>
  <c r="J109" i="35" s="1"/>
  <c r="J13" i="34" s="1"/>
  <c r="I5" i="35"/>
  <c r="H5" i="35"/>
  <c r="H109" i="35" s="1"/>
  <c r="J11" i="34" s="1"/>
  <c r="G5" i="35"/>
  <c r="F5" i="35"/>
  <c r="F109" i="35" s="1"/>
  <c r="J9" i="34" s="1"/>
  <c r="E5" i="35"/>
  <c r="D5" i="35"/>
  <c r="C5" i="35" s="1"/>
  <c r="I11" i="37" l="1"/>
  <c r="I16" i="37" s="1"/>
  <c r="E11" i="37"/>
  <c r="K109" i="35"/>
  <c r="J14" i="34" s="1"/>
  <c r="C9" i="35"/>
  <c r="C63" i="35"/>
  <c r="C99" i="35"/>
  <c r="G109" i="35"/>
  <c r="E109" i="35"/>
  <c r="I109" i="35"/>
  <c r="E111" i="35"/>
  <c r="H113" i="35"/>
  <c r="H111" i="35"/>
  <c r="K111" i="35"/>
  <c r="F113" i="35"/>
  <c r="F111" i="35"/>
  <c r="J111" i="35"/>
  <c r="D109" i="35"/>
  <c r="J7" i="34" s="1"/>
  <c r="E16" i="37" l="1"/>
  <c r="E18" i="37"/>
  <c r="J12" i="34"/>
  <c r="J10" i="34"/>
  <c r="J8" i="34"/>
  <c r="I18" i="37"/>
  <c r="I19" i="37" s="1"/>
  <c r="G111" i="35"/>
  <c r="I111" i="35"/>
  <c r="D113" i="35"/>
  <c r="D111" i="35"/>
  <c r="C109" i="35"/>
  <c r="E19" i="37" l="1"/>
  <c r="C18" i="37"/>
  <c r="C111" i="35"/>
  <c r="G13" i="34" l="1"/>
  <c r="I9" i="34"/>
  <c r="J15" i="34"/>
  <c r="M14" i="34"/>
  <c r="M11" i="34"/>
  <c r="M10" i="34"/>
  <c r="M7" i="34"/>
  <c r="I16" i="32"/>
  <c r="E12" i="34" s="1"/>
  <c r="K12" i="32"/>
  <c r="K16" i="32" s="1"/>
  <c r="E14" i="34" s="1"/>
  <c r="J12" i="32"/>
  <c r="J16" i="32" s="1"/>
  <c r="E13" i="34" s="1"/>
  <c r="I12" i="32"/>
  <c r="H12" i="32"/>
  <c r="H16" i="32" s="1"/>
  <c r="E11" i="34" s="1"/>
  <c r="G12" i="32"/>
  <c r="G16" i="32" s="1"/>
  <c r="E10" i="34" s="1"/>
  <c r="F12" i="32"/>
  <c r="F16" i="32" s="1"/>
  <c r="E9" i="34" s="1"/>
  <c r="E12" i="32"/>
  <c r="E16" i="32" s="1"/>
  <c r="E8" i="34" s="1"/>
  <c r="D12" i="32"/>
  <c r="D16" i="32" s="1"/>
  <c r="E7" i="34" s="1"/>
  <c r="K8" i="32"/>
  <c r="J8" i="32"/>
  <c r="I8" i="32"/>
  <c r="H8" i="32"/>
  <c r="G8" i="32"/>
  <c r="F8" i="32"/>
  <c r="E8" i="32"/>
  <c r="D8" i="32"/>
  <c r="K5" i="32"/>
  <c r="J5" i="32"/>
  <c r="I5" i="32"/>
  <c r="H5" i="32"/>
  <c r="G5" i="32"/>
  <c r="F5" i="32"/>
  <c r="E5" i="32"/>
  <c r="D5" i="32"/>
  <c r="D176" i="13"/>
  <c r="M8" i="34" l="1"/>
  <c r="M9" i="34"/>
  <c r="M13" i="34"/>
  <c r="G11" i="32"/>
  <c r="D10" i="34" s="1"/>
  <c r="K11" i="32"/>
  <c r="D14" i="34" s="1"/>
  <c r="M12" i="34"/>
  <c r="D11" i="32"/>
  <c r="D7" i="34" s="1"/>
  <c r="C12" i="32"/>
  <c r="E15" i="34"/>
  <c r="C5" i="32"/>
  <c r="H11" i="32"/>
  <c r="F11" i="32"/>
  <c r="J11" i="32"/>
  <c r="E11" i="32"/>
  <c r="D8" i="34" s="1"/>
  <c r="I11" i="32"/>
  <c r="C8" i="32"/>
  <c r="E17" i="32"/>
  <c r="G17" i="32"/>
  <c r="K17" i="32"/>
  <c r="C16" i="32"/>
  <c r="D17" i="32"/>
  <c r="F7" i="34" s="1"/>
  <c r="K21" i="32" l="1"/>
  <c r="F14" i="34"/>
  <c r="K19" i="32"/>
  <c r="G19" i="32"/>
  <c r="F10" i="34"/>
  <c r="J17" i="32"/>
  <c r="F13" i="34" s="1"/>
  <c r="D13" i="34"/>
  <c r="E19" i="32"/>
  <c r="F8" i="34"/>
  <c r="F17" i="32"/>
  <c r="D9" i="34"/>
  <c r="D12" i="34"/>
  <c r="H17" i="32"/>
  <c r="D11" i="34"/>
  <c r="M15" i="34"/>
  <c r="J19" i="32"/>
  <c r="J21" i="32"/>
  <c r="C11" i="32"/>
  <c r="I17" i="32"/>
  <c r="D19" i="32"/>
  <c r="F19" i="32"/>
  <c r="D21" i="32"/>
  <c r="F21" i="32" l="1"/>
  <c r="F9" i="34"/>
  <c r="I19" i="32"/>
  <c r="F12" i="34"/>
  <c r="F11" i="34"/>
  <c r="H21" i="32"/>
  <c r="H19" i="32"/>
  <c r="D15" i="34"/>
  <c r="C17" i="32"/>
  <c r="C19" i="32" l="1"/>
  <c r="F15" i="34"/>
  <c r="D180" i="30" l="1"/>
  <c r="E180" i="30" s="1"/>
  <c r="D217" i="18"/>
  <c r="D216" i="16"/>
  <c r="F56" i="29"/>
  <c r="D207" i="12"/>
  <c r="F18" i="29"/>
  <c r="F12" i="28" l="1"/>
  <c r="F9" i="28"/>
  <c r="F6" i="28"/>
  <c r="D110" i="18"/>
  <c r="E110" i="18" s="1"/>
  <c r="F12" i="26" l="1"/>
  <c r="F35" i="26"/>
  <c r="F91" i="26"/>
  <c r="F52" i="26"/>
  <c r="F87" i="26" l="1"/>
  <c r="F74" i="26"/>
  <c r="F40" i="26"/>
  <c r="F24" i="26"/>
  <c r="F71" i="16" l="1"/>
  <c r="F72" i="15"/>
  <c r="E71" i="14"/>
  <c r="E70" i="13"/>
  <c r="E71" i="12"/>
  <c r="D70" i="25"/>
  <c r="D66" i="25"/>
  <c r="D62" i="25"/>
  <c r="D52" i="12"/>
  <c r="D10" i="25"/>
  <c r="D46" i="30"/>
  <c r="D46" i="18"/>
  <c r="D40" i="30"/>
  <c r="D34" i="30"/>
  <c r="D31" i="30"/>
  <c r="D31" i="18"/>
  <c r="D28" i="30"/>
  <c r="D28" i="18"/>
  <c r="D6" i="23"/>
  <c r="E14" i="16"/>
  <c r="D33" i="21"/>
  <c r="D37" i="21" s="1"/>
  <c r="C6" i="31" l="1"/>
  <c r="D39" i="21"/>
  <c r="C243" i="15"/>
  <c r="C240" i="15" s="1"/>
  <c r="C238" i="15"/>
  <c r="C237" i="15"/>
  <c r="C236" i="15"/>
  <c r="C235" i="15"/>
  <c r="C234" i="15"/>
  <c r="C231" i="15"/>
  <c r="C230" i="15"/>
  <c r="C229" i="15"/>
  <c r="C228" i="15"/>
  <c r="C227" i="15"/>
  <c r="C226" i="15"/>
  <c r="C224" i="15"/>
  <c r="C223" i="15"/>
  <c r="C222" i="15"/>
  <c r="C221" i="15"/>
  <c r="C220" i="15"/>
  <c r="C219" i="15"/>
  <c r="C218" i="15"/>
  <c r="C217" i="15"/>
  <c r="C216" i="15"/>
  <c r="C215" i="15"/>
  <c r="C213" i="15"/>
  <c r="C212" i="15"/>
  <c r="C211" i="15"/>
  <c r="C210" i="15"/>
  <c r="C209" i="15"/>
  <c r="C184" i="15"/>
  <c r="C176" i="15"/>
  <c r="C175" i="15"/>
  <c r="C169" i="15"/>
  <c r="C163" i="15"/>
  <c r="C160" i="15"/>
  <c r="C154" i="15"/>
  <c r="C149" i="15"/>
  <c r="C145" i="15"/>
  <c r="C140" i="15"/>
  <c r="C137" i="15"/>
  <c r="C133" i="15"/>
  <c r="C127" i="15"/>
  <c r="C123" i="15"/>
  <c r="C120" i="15"/>
  <c r="C117" i="15"/>
  <c r="C114" i="15"/>
  <c r="C111" i="15"/>
  <c r="C108" i="15"/>
  <c r="C105" i="15"/>
  <c r="C166" i="15" s="1"/>
  <c r="C93" i="15"/>
  <c r="C90" i="15"/>
  <c r="C84" i="15"/>
  <c r="C81" i="15"/>
  <c r="C78" i="15"/>
  <c r="C74" i="15"/>
  <c r="C69" i="15"/>
  <c r="C66" i="15"/>
  <c r="C63" i="15"/>
  <c r="C57" i="15"/>
  <c r="C54" i="15"/>
  <c r="C51" i="15"/>
  <c r="C48" i="15"/>
  <c r="C41" i="15"/>
  <c r="C35" i="15"/>
  <c r="C32" i="15"/>
  <c r="C29" i="15"/>
  <c r="C25" i="15"/>
  <c r="C28" i="15" s="1"/>
  <c r="C21" i="15"/>
  <c r="C17" i="15"/>
  <c r="C14" i="15"/>
  <c r="C9" i="15"/>
  <c r="C12" i="15" s="1"/>
  <c r="E17" i="34" l="1"/>
  <c r="E18" i="34" s="1"/>
  <c r="C24" i="15"/>
  <c r="C47" i="15"/>
  <c r="C103" i="15"/>
  <c r="G113" i="35" s="1"/>
  <c r="C225" i="15"/>
  <c r="C207" i="15"/>
  <c r="C251" i="15" s="1"/>
  <c r="C13" i="15"/>
  <c r="G21" i="32" s="1"/>
  <c r="C252" i="15" l="1"/>
  <c r="C241" i="19"/>
  <c r="C238" i="19"/>
  <c r="C211" i="19"/>
  <c r="C171" i="19"/>
  <c r="C162" i="19"/>
  <c r="C156" i="19"/>
  <c r="C135" i="19"/>
  <c r="C129" i="19"/>
  <c r="C110" i="19"/>
  <c r="C107" i="19"/>
  <c r="C92" i="19"/>
  <c r="C81" i="19"/>
  <c r="C77" i="19"/>
  <c r="C69" i="19"/>
  <c r="C66" i="19"/>
  <c r="C56" i="19"/>
  <c r="C47" i="19"/>
  <c r="C43" i="19"/>
  <c r="C34" i="19"/>
  <c r="C28" i="19"/>
  <c r="C24" i="19"/>
  <c r="C27" i="19" s="1"/>
  <c r="C20" i="19"/>
  <c r="C23" i="19" s="1"/>
  <c r="C46" i="19" l="1"/>
  <c r="C244" i="19"/>
  <c r="C168" i="19"/>
  <c r="D168" i="19"/>
  <c r="C105" i="19"/>
  <c r="K113" i="35" s="1"/>
  <c r="K116" i="35" s="1"/>
  <c r="C248" i="19" l="1"/>
  <c r="C223" i="17"/>
  <c r="C168" i="17"/>
  <c r="C103" i="17"/>
  <c r="J113" i="35" s="1"/>
  <c r="C46" i="17"/>
  <c r="C23" i="17"/>
  <c r="C224" i="17" l="1"/>
  <c r="C220" i="18"/>
  <c r="C217" i="18"/>
  <c r="C169" i="18"/>
  <c r="C139" i="18"/>
  <c r="C102" i="18"/>
  <c r="C46" i="18"/>
  <c r="C27" i="18"/>
  <c r="C14" i="18"/>
  <c r="C23" i="18" s="1"/>
  <c r="C12" i="18"/>
  <c r="C13" i="18" l="1"/>
  <c r="I21" i="32"/>
  <c r="D166" i="18"/>
  <c r="C166" i="18"/>
  <c r="C221" i="18" s="1"/>
  <c r="C169" i="30" l="1"/>
  <c r="D220" i="30" s="1"/>
  <c r="C168" i="30"/>
  <c r="C165" i="30"/>
  <c r="C102" i="30"/>
  <c r="I113" i="35" s="1"/>
  <c r="C46" i="30"/>
  <c r="C219" i="13"/>
  <c r="C216" i="13"/>
  <c r="C214" i="13"/>
  <c r="C211" i="13"/>
  <c r="C189" i="13"/>
  <c r="C184" i="13"/>
  <c r="C176" i="13"/>
  <c r="C175" i="13"/>
  <c r="C172" i="13"/>
  <c r="C164" i="13"/>
  <c r="C161" i="13"/>
  <c r="C155" i="13"/>
  <c r="C150" i="13"/>
  <c r="C146" i="13"/>
  <c r="C143" i="13"/>
  <c r="C141" i="13" s="1"/>
  <c r="C138" i="13"/>
  <c r="C134" i="13"/>
  <c r="C133" i="13"/>
  <c r="C130" i="13"/>
  <c r="C129" i="13"/>
  <c r="C128" i="13" s="1"/>
  <c r="C124" i="13"/>
  <c r="C121" i="13"/>
  <c r="C118" i="13"/>
  <c r="C115" i="13"/>
  <c r="C112" i="13"/>
  <c r="C110" i="13"/>
  <c r="C109" i="13" s="1"/>
  <c r="C107" i="13"/>
  <c r="C106" i="13"/>
  <c r="C105" i="13"/>
  <c r="C103" i="13"/>
  <c r="C101" i="13" s="1"/>
  <c r="C91" i="13"/>
  <c r="C85" i="13"/>
  <c r="C82" i="13"/>
  <c r="C79" i="13"/>
  <c r="C72" i="13"/>
  <c r="C67" i="13"/>
  <c r="C64" i="13"/>
  <c r="C61" i="13"/>
  <c r="C55" i="13"/>
  <c r="C52" i="13"/>
  <c r="C49" i="13"/>
  <c r="C46" i="13"/>
  <c r="C42" i="13"/>
  <c r="C27" i="13"/>
  <c r="C45" i="13" s="1"/>
  <c r="C19" i="13"/>
  <c r="C16" i="13"/>
  <c r="C13" i="13"/>
  <c r="C22" i="13" s="1"/>
  <c r="C8" i="13"/>
  <c r="C11" i="13" s="1"/>
  <c r="E12" i="13" l="1"/>
  <c r="E21" i="32"/>
  <c r="C222" i="13"/>
  <c r="C12" i="13"/>
  <c r="C104" i="13"/>
  <c r="E113" i="35" s="1"/>
  <c r="C220" i="30"/>
  <c r="C221" i="30" s="1"/>
  <c r="C169" i="13"/>
  <c r="F46" i="29"/>
  <c r="C223" i="13" l="1"/>
  <c r="C224" i="13" s="1"/>
  <c r="C225" i="13" s="1"/>
  <c r="F52" i="29"/>
  <c r="Y12" i="37"/>
  <c r="W13" i="37"/>
  <c r="W12" i="37"/>
  <c r="W11" i="37"/>
  <c r="W8" i="37"/>
  <c r="U10" i="37"/>
  <c r="U11" i="37"/>
  <c r="U12" i="37"/>
  <c r="U14" i="37"/>
  <c r="U15" i="37"/>
  <c r="U8" i="37"/>
  <c r="F43" i="26"/>
  <c r="F16" i="26"/>
  <c r="D41" i="25"/>
  <c r="F32" i="26"/>
  <c r="F20" i="26"/>
  <c r="F28" i="26"/>
  <c r="F56" i="26"/>
  <c r="F60" i="26"/>
  <c r="F83" i="26"/>
  <c r="N7" i="34" l="1"/>
  <c r="S15" i="37"/>
  <c r="S11" i="37"/>
  <c r="S8" i="37"/>
  <c r="S10" i="37"/>
  <c r="L14" i="34"/>
  <c r="L13" i="34"/>
  <c r="L9" i="34"/>
  <c r="L10" i="34"/>
  <c r="L11" i="34"/>
  <c r="L8" i="34"/>
  <c r="N10" i="34"/>
  <c r="Y9" i="37"/>
  <c r="N11" i="34"/>
  <c r="L7" i="34"/>
  <c r="W14" i="37"/>
  <c r="W15" i="37"/>
  <c r="W10" i="37"/>
  <c r="W9" i="37"/>
  <c r="W16" i="37" s="1"/>
  <c r="W19" i="37" s="1"/>
  <c r="F20" i="27"/>
  <c r="U13" i="37"/>
  <c r="U16" i="37" s="1"/>
  <c r="U19" i="37" s="1"/>
  <c r="Y10" i="37" l="1"/>
  <c r="C10" i="37" s="1"/>
  <c r="AK10" i="37" s="1"/>
  <c r="Y14" i="37"/>
  <c r="Y15" i="37"/>
  <c r="Y11" i="37"/>
  <c r="C11" i="37" s="1"/>
  <c r="AK11" i="37" s="1"/>
  <c r="Y13" i="37"/>
  <c r="F73" i="29"/>
  <c r="Y8" i="37"/>
  <c r="C8" i="37" s="1"/>
  <c r="K7" i="34"/>
  <c r="S14" i="37"/>
  <c r="S13" i="37"/>
  <c r="S9" i="37"/>
  <c r="C9" i="37" s="1"/>
  <c r="AK9" i="37" s="1"/>
  <c r="S12" i="37"/>
  <c r="C12" i="37" s="1"/>
  <c r="AK12" i="37" s="1"/>
  <c r="K13" i="34"/>
  <c r="K14" i="34"/>
  <c r="N12" i="34"/>
  <c r="N14" i="34"/>
  <c r="N13" i="34"/>
  <c r="N9" i="34"/>
  <c r="K12" i="34"/>
  <c r="K11" i="34"/>
  <c r="K10" i="34"/>
  <c r="K9" i="34"/>
  <c r="N8" i="34"/>
  <c r="L12" i="34"/>
  <c r="L15" i="34" s="1"/>
  <c r="K8" i="34"/>
  <c r="F74" i="29" l="1"/>
  <c r="E15" i="31"/>
  <c r="E16" i="31" s="1"/>
  <c r="C14" i="37"/>
  <c r="AK14" i="37" s="1"/>
  <c r="C13" i="37"/>
  <c r="AK13" i="37" s="1"/>
  <c r="Y16" i="37"/>
  <c r="Y19" i="37" s="1"/>
  <c r="AK8" i="37"/>
  <c r="C16" i="37"/>
  <c r="C19" i="37" s="1"/>
  <c r="S16" i="37"/>
  <c r="S19" i="37" s="1"/>
  <c r="N15" i="34"/>
  <c r="K15" i="34"/>
  <c r="M17" i="34"/>
  <c r="M18" i="34" s="1"/>
  <c r="L17" i="34"/>
  <c r="L18" i="34" s="1"/>
  <c r="K17" i="34"/>
  <c r="N17" i="34"/>
  <c r="D20" i="25"/>
  <c r="N18" i="34" l="1"/>
  <c r="K18" i="34"/>
  <c r="D25" i="25" l="1"/>
  <c r="D37" i="25" l="1"/>
  <c r="D50" i="25"/>
  <c r="E113" i="14"/>
  <c r="Q15" i="37"/>
  <c r="Q16" i="37" s="1"/>
  <c r="Q19" i="37" s="1"/>
  <c r="D45" i="25"/>
  <c r="D33" i="25"/>
  <c r="D6" i="25" l="1"/>
  <c r="J17" i="34" l="1"/>
  <c r="J18" i="34" s="1"/>
  <c r="D111" i="25"/>
  <c r="D43" i="24" l="1"/>
  <c r="C10" i="31" s="1"/>
  <c r="O15" i="37"/>
  <c r="O16" i="37" s="1"/>
  <c r="O19" i="37" s="1"/>
  <c r="H9" i="34"/>
  <c r="H13" i="34"/>
  <c r="D12" i="23"/>
  <c r="H10" i="34"/>
  <c r="G12" i="34" l="1"/>
  <c r="G11" i="34"/>
  <c r="M15" i="37"/>
  <c r="G10" i="34"/>
  <c r="I10" i="34"/>
  <c r="I8" i="34"/>
  <c r="I12" i="34"/>
  <c r="I11" i="34"/>
  <c r="I13" i="34"/>
  <c r="C13" i="34" s="1"/>
  <c r="I7" i="34"/>
  <c r="I14" i="34"/>
  <c r="G14" i="34"/>
  <c r="G9" i="34"/>
  <c r="C9" i="34" s="1"/>
  <c r="H7" i="34"/>
  <c r="D45" i="24"/>
  <c r="H8" i="34"/>
  <c r="H11" i="34"/>
  <c r="H12" i="34"/>
  <c r="D6" i="21"/>
  <c r="D19" i="21" s="1"/>
  <c r="C5" i="31" l="1"/>
  <c r="D21" i="21"/>
  <c r="C7" i="31" s="1"/>
  <c r="H14" i="34"/>
  <c r="M16" i="37"/>
  <c r="C15" i="37"/>
  <c r="AK15" i="37" s="1"/>
  <c r="G17" i="34"/>
  <c r="H15" i="34"/>
  <c r="C12" i="34"/>
  <c r="C10" i="34"/>
  <c r="G7" i="34"/>
  <c r="C7" i="34" s="1"/>
  <c r="G8" i="34"/>
  <c r="C8" i="34" s="1"/>
  <c r="I15" i="34"/>
  <c r="C14" i="34"/>
  <c r="C11" i="34"/>
  <c r="I17" i="34"/>
  <c r="D29" i="23"/>
  <c r="D25" i="21" l="1"/>
  <c r="M19" i="37"/>
  <c r="AK16" i="37"/>
  <c r="AM16" i="37" s="1"/>
  <c r="G15" i="34"/>
  <c r="O15" i="34" s="1"/>
  <c r="I18" i="34"/>
  <c r="C15" i="34"/>
  <c r="H17" i="34"/>
  <c r="H18" i="34" s="1"/>
  <c r="G18" i="34" l="1"/>
  <c r="P15" i="34"/>
  <c r="D17" i="34" l="1"/>
  <c r="D18" i="34" s="1"/>
  <c r="F17" i="34" l="1"/>
  <c r="F18" i="34" s="1"/>
  <c r="C17" i="34" l="1"/>
  <c r="C18" i="34" s="1"/>
  <c r="C16" i="31" l="1"/>
</calcChain>
</file>

<file path=xl/comments1.xml><?xml version="1.0" encoding="utf-8"?>
<comments xmlns="http://schemas.openxmlformats.org/spreadsheetml/2006/main">
  <authors>
    <author>1</author>
  </authors>
  <commentList>
    <comment ref="B151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1</author>
  </authors>
  <commentList>
    <comment ref="B79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1</author>
  </authors>
  <commentList>
    <comment ref="B154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1</author>
  </authors>
  <commentList>
    <comment ref="B163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1</author>
  </authors>
  <commentList>
    <comment ref="B152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1</author>
  </authors>
  <commentList>
    <comment ref="B152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</text>
    </comment>
  </commentList>
</comments>
</file>

<file path=xl/comments7.xml><?xml version="1.0" encoding="utf-8"?>
<comments xmlns="http://schemas.openxmlformats.org/spreadsheetml/2006/main">
  <authors>
    <author>1</author>
  </authors>
  <commentList>
    <comment ref="B152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1</author>
  </authors>
  <commentList>
    <comment ref="B154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1</author>
  </authors>
  <commentList>
    <comment ref="B155" author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<sst xmlns="http://schemas.openxmlformats.org/spreadsheetml/2006/main" count="2963" uniqueCount="599">
  <si>
    <t>Интернет</t>
  </si>
  <si>
    <t>Конверты</t>
  </si>
  <si>
    <t>Эл.энергия</t>
  </si>
  <si>
    <t>Тепло</t>
  </si>
  <si>
    <t>Вода</t>
  </si>
  <si>
    <t>Водоотведение</t>
  </si>
  <si>
    <t>Вывоз ТБО</t>
  </si>
  <si>
    <t>Дератизация</t>
  </si>
  <si>
    <t>Мониторинг АПС</t>
  </si>
  <si>
    <t>Пром. и опресов.сист.отопл</t>
  </si>
  <si>
    <t>Подписка 1С</t>
  </si>
  <si>
    <t>Мед.осмотр</t>
  </si>
  <si>
    <t>Обслуживание 1С</t>
  </si>
  <si>
    <t>Програм.произ.контроля</t>
  </si>
  <si>
    <t>Лицензирование</t>
  </si>
  <si>
    <t>Нотариальные услуги</t>
  </si>
  <si>
    <t>Курсы пов.квалиф.пед.раб.</t>
  </si>
  <si>
    <t>Барьер</t>
  </si>
  <si>
    <t>Утилизация ламп</t>
  </si>
  <si>
    <t>Аттестация раб.мест</t>
  </si>
  <si>
    <t>Налог на имущество</t>
  </si>
  <si>
    <t>Налог на землю</t>
  </si>
  <si>
    <t>Хоз.нужды</t>
  </si>
  <si>
    <t>Уголь</t>
  </si>
  <si>
    <t>Дрова</t>
  </si>
  <si>
    <t>Вывоз ЖБО</t>
  </si>
  <si>
    <t>Антитеррор.меропр. Барьер</t>
  </si>
  <si>
    <t>Услуги охраны</t>
  </si>
  <si>
    <t>Проверка дымоходов</t>
  </si>
  <si>
    <t>Горяч.вода</t>
  </si>
  <si>
    <t>СБИС,програм.</t>
  </si>
  <si>
    <t>Тех.осмотр трансп.</t>
  </si>
  <si>
    <t>Обслуж. Глонасс</t>
  </si>
  <si>
    <t>Повер. средс.измер., мед. каб</t>
  </si>
  <si>
    <t>Страховка</t>
  </si>
  <si>
    <t>Стоянка автобуса</t>
  </si>
  <si>
    <t>Обслужив.эл.журнал.</t>
  </si>
  <si>
    <t>Обучение водителей</t>
  </si>
  <si>
    <t>ГСМ</t>
  </si>
  <si>
    <t>Зап.части</t>
  </si>
  <si>
    <t>СЭС проверка столов.</t>
  </si>
  <si>
    <t>Приобрет.прогр.обор.</t>
  </si>
  <si>
    <t>Мед.осмотр водител., кух.раб.</t>
  </si>
  <si>
    <t>Услуги прачки</t>
  </si>
  <si>
    <t>Бланки (аттест.)+бланки</t>
  </si>
  <si>
    <t>Ремонт автобуса</t>
  </si>
  <si>
    <t>Чистка котлов</t>
  </si>
  <si>
    <t>Измерение и испыт.эл.оборуд.</t>
  </si>
  <si>
    <t>Акарицид.обработка</t>
  </si>
  <si>
    <t>Обсл.тех.сост.автоб.</t>
  </si>
  <si>
    <t>Предрейс.и послер. Осмотр водит.</t>
  </si>
  <si>
    <t>Заправка картриджей</t>
  </si>
  <si>
    <t>Обслуж. счетч.тепла</t>
  </si>
  <si>
    <t>Аптечка</t>
  </si>
  <si>
    <t>Ремонт и энергетич.обсл.эл.оборуд., усл.электрика</t>
  </si>
  <si>
    <t>Кол-во ставок</t>
  </si>
  <si>
    <t>Зар.плата в месяц</t>
  </si>
  <si>
    <t>МОП зар.плата в месяц</t>
  </si>
  <si>
    <t>Услуги связи в год</t>
  </si>
  <si>
    <t>кол-во телеф.</t>
  </si>
  <si>
    <t>Услуги связи в мес.</t>
  </si>
  <si>
    <t>Услуги связи в мес. сред.</t>
  </si>
  <si>
    <t xml:space="preserve">Оплата проезда </t>
  </si>
  <si>
    <t>Сумма</t>
  </si>
  <si>
    <t>Ко-во дней</t>
  </si>
  <si>
    <t>Кол-во дней</t>
  </si>
  <si>
    <t>Кол-во</t>
  </si>
  <si>
    <t>Кол-во в год</t>
  </si>
  <si>
    <t>Кол-во работн.</t>
  </si>
  <si>
    <t>Кол-во автоб.</t>
  </si>
  <si>
    <t>Кол-во    кв.м.</t>
  </si>
  <si>
    <t>Лагерь</t>
  </si>
  <si>
    <t>Спец.одежда</t>
  </si>
  <si>
    <t>Приобретение котла</t>
  </si>
  <si>
    <t>Питание многодет.</t>
  </si>
  <si>
    <t>Кол-во детей</t>
  </si>
  <si>
    <t>Стоимость питания в день</t>
  </si>
  <si>
    <t>Кол-во дней в год</t>
  </si>
  <si>
    <t>Питание детей в дош.гр.</t>
  </si>
  <si>
    <t>кол-во флеш.-носит.</t>
  </si>
  <si>
    <t>кол-во шт.</t>
  </si>
  <si>
    <t>кол-во поездок в год</t>
  </si>
  <si>
    <t>Кол-во кВт-ч в год</t>
  </si>
  <si>
    <t>Кол-во гКал в год</t>
  </si>
  <si>
    <t>Кол-во куб.м в год</t>
  </si>
  <si>
    <t>Ко-во л в год</t>
  </si>
  <si>
    <t>ИТОГО на год кл.340</t>
  </si>
  <si>
    <t>ИТОГО на год кл.290</t>
  </si>
  <si>
    <t>ИТОГО на год кл.226</t>
  </si>
  <si>
    <t>ИТОГО на год кл.225</t>
  </si>
  <si>
    <t>ИТОГО на год кл.223</t>
  </si>
  <si>
    <t>ИТОГО на год кл222</t>
  </si>
  <si>
    <t>ИТОГО на год кл221</t>
  </si>
  <si>
    <t>Начисления на зар.пл. кл.213</t>
  </si>
  <si>
    <t>ИТОГО на год кл.211</t>
  </si>
  <si>
    <t>Приложение №1</t>
  </si>
  <si>
    <t>Видеонаблюд.(устан.и обсл.)</t>
  </si>
  <si>
    <t>Средства местного бюджета на 2017 год</t>
  </si>
  <si>
    <r>
      <t xml:space="preserve">                                                                                    </t>
    </r>
    <r>
      <rPr>
        <u/>
        <sz val="9"/>
        <color indexed="8"/>
        <rFont val="Times New Roman"/>
        <family val="1"/>
        <charset val="204"/>
      </rPr>
      <t>(наименование учреждения)</t>
    </r>
  </si>
  <si>
    <t>Плановая потребность в бюджетных средствах с расчетом, рубли</t>
  </si>
  <si>
    <t>АУП  зар.плата в месяц</t>
  </si>
  <si>
    <r>
      <t xml:space="preserve"> </t>
    </r>
    <r>
      <rPr>
        <i/>
        <sz val="9"/>
        <rFont val="Times New Roman"/>
        <family val="1"/>
        <charset val="204"/>
      </rPr>
      <t>Дети от ЦЗ</t>
    </r>
  </si>
  <si>
    <t>ТО автобуса</t>
  </si>
  <si>
    <t>ТО АПС</t>
  </si>
  <si>
    <t>Кол-во заправок</t>
  </si>
  <si>
    <t>Цена</t>
  </si>
  <si>
    <t>Цена 1 поездки</t>
  </si>
  <si>
    <t>цена</t>
  </si>
  <si>
    <t>тариф</t>
  </si>
  <si>
    <t>Кол-во мес.</t>
  </si>
  <si>
    <t>Сумма в месяц</t>
  </si>
  <si>
    <t>Цена 1 проверки</t>
  </si>
  <si>
    <t>Сумма на 1 работника</t>
  </si>
  <si>
    <t>ТО Веб Узла</t>
  </si>
  <si>
    <t>Кол-во месяцев</t>
  </si>
  <si>
    <t>Питание 1-4 классов</t>
  </si>
  <si>
    <t>Цена за 1 л</t>
  </si>
  <si>
    <t>Ко-во км в год</t>
  </si>
  <si>
    <t>Норма расхода л/100 км</t>
  </si>
  <si>
    <t>Цена за 1 т</t>
  </si>
  <si>
    <t>Цена за 1 куб.м</t>
  </si>
  <si>
    <t>Потребность на 2017 год</t>
  </si>
  <si>
    <t>Потребность на 2018 год</t>
  </si>
  <si>
    <t>Потребность на 2019 год</t>
  </si>
  <si>
    <t>Наименование строчек не менять, если нет нужного наименования вносить дополнительно</t>
  </si>
  <si>
    <t>мыло хозяйственное</t>
  </si>
  <si>
    <t>бумага для принтера</t>
  </si>
  <si>
    <t>ИТОГО на год кл.310</t>
  </si>
  <si>
    <t>Санитарно-гигиеническое обучение сотрудников</t>
  </si>
  <si>
    <t>Обработка чердачных помещений</t>
  </si>
  <si>
    <t>Главный бухгалтер</t>
  </si>
  <si>
    <t>Газ</t>
  </si>
  <si>
    <t xml:space="preserve">ТО газового оборудования </t>
  </si>
  <si>
    <t>Электротехническое испытание (измерение сопротивления изоляции)</t>
  </si>
  <si>
    <t>Канц.товары</t>
  </si>
  <si>
    <t>туалетная бумага</t>
  </si>
  <si>
    <t>Канцтовары</t>
  </si>
  <si>
    <t>Медикаменты</t>
  </si>
  <si>
    <t>Главный бухгалтер:</t>
  </si>
  <si>
    <t>ИТОГО на год кл.212</t>
  </si>
  <si>
    <t>Кол-во работников</t>
  </si>
  <si>
    <t>Сумма выплаты в месяц</t>
  </si>
  <si>
    <t>Кол-во месяцев выплаты</t>
  </si>
  <si>
    <t xml:space="preserve">Ежемесячные компенсационные выплаты работникам, находящимся в отпуске по уходу за ребенком до достижения им возраста 3-х лет </t>
  </si>
  <si>
    <t>Услуги связи в мес. средн.</t>
  </si>
  <si>
    <t>Прогнозное увеличение цен, %</t>
  </si>
  <si>
    <t>Кол-во флеш.-носит.</t>
  </si>
  <si>
    <t>Кол-во шт.в год</t>
  </si>
  <si>
    <t>Цена, руб/шт.</t>
  </si>
  <si>
    <t>ИТОГО на год кл.221</t>
  </si>
  <si>
    <t>Начисления на зар.пл. на год  кл.213</t>
  </si>
  <si>
    <t>Интернет в год</t>
  </si>
  <si>
    <t>Кол-во телеф., ед.</t>
  </si>
  <si>
    <t>рублей</t>
  </si>
  <si>
    <t>ИТОГО затраты на год,тыс.руб.</t>
  </si>
  <si>
    <t>Кол-во поездок в год</t>
  </si>
  <si>
    <t>Место учебы</t>
  </si>
  <si>
    <t>Кол-во человек в год</t>
  </si>
  <si>
    <t>Средняя цена 1 поездки</t>
  </si>
  <si>
    <t>ИТОГО на год кл.222</t>
  </si>
  <si>
    <t>Оплата проезда на курсы повышения квалификации в год</t>
  </si>
  <si>
    <t>Оплата проезда (иные цели) в год</t>
  </si>
  <si>
    <t>Маршрут</t>
  </si>
  <si>
    <t>Цель</t>
  </si>
  <si>
    <t>Кол-во кВтч в год</t>
  </si>
  <si>
    <t>Кол-во м3 в год</t>
  </si>
  <si>
    <t>Тариф, руб./м3</t>
  </si>
  <si>
    <t>Тариф, руб./кВтч</t>
  </si>
  <si>
    <t>Средний тариф, руб./гКал</t>
  </si>
  <si>
    <r>
      <t xml:space="preserve"> </t>
    </r>
    <r>
      <rPr>
        <i/>
        <sz val="9"/>
        <color rgb="FFFF0000"/>
        <rFont val="Times New Roman"/>
        <family val="1"/>
        <charset val="204"/>
      </rPr>
      <t>Дети от ЦЗ</t>
    </r>
  </si>
  <si>
    <t>Сумма, руб./месяц</t>
  </si>
  <si>
    <t>Сумма, руб./1 обработку</t>
  </si>
  <si>
    <t>Замена оконных блоков и дверей</t>
  </si>
  <si>
    <t>Сумма, рублей/год</t>
  </si>
  <si>
    <t>Цена, руб./месяц</t>
  </si>
  <si>
    <t>Кол-во автобусов</t>
  </si>
  <si>
    <t>Ремонт эл.борудования, выч.техники ,ТО эл.оборудования и электроустройств, услуги электрика</t>
  </si>
  <si>
    <t>Ремонт</t>
  </si>
  <si>
    <t>Ремонт и ТО электропроводки и электроустановок</t>
  </si>
  <si>
    <t>тариф, рублей/год</t>
  </si>
  <si>
    <t>Сумма (усредненная), руб./1 работника</t>
  </si>
  <si>
    <t>ст.225</t>
  </si>
  <si>
    <t>Курсы повышения квалификации (в т.ч.в сфере закупок)</t>
  </si>
  <si>
    <t>Видеонаблюдение (обслуживание)</t>
  </si>
  <si>
    <t>Предрейсовый и послерейсовый осмотр водит.</t>
  </si>
  <si>
    <t>Услуги охраны, обеспечение реагирования мобильной группы при поступлении смгнала "тревога"</t>
  </si>
  <si>
    <t>Кол-во м2</t>
  </si>
  <si>
    <t>Питание детей из многодетных семей</t>
  </si>
  <si>
    <t>Цена,руб/ед.</t>
  </si>
  <si>
    <t>Ко-во л в год, литр</t>
  </si>
  <si>
    <t>Всего ООУ</t>
  </si>
  <si>
    <t>МОУ Китовская СШ</t>
  </si>
  <si>
    <t>МОУ Васильевская СШ</t>
  </si>
  <si>
    <t>МОУ Колобовская СШ</t>
  </si>
  <si>
    <t>МОУ Перемиловская СШ</t>
  </si>
  <si>
    <t>МОУ Пустошенская СШ</t>
  </si>
  <si>
    <t>МКОУ Клочковская НШ</t>
  </si>
  <si>
    <t xml:space="preserve">Милюковское МКОУ </t>
  </si>
  <si>
    <t>МКОУ Чернцкая ОШ</t>
  </si>
  <si>
    <t>Количество в год</t>
  </si>
  <si>
    <t>Директор                                             И.В. Румянцева</t>
  </si>
  <si>
    <t>Гл. бухгалтер                                      А.М. Лапина</t>
  </si>
  <si>
    <t xml:space="preserve"> Муниципальное общеобразовательное учреждение "Васильевска средня школа"</t>
  </si>
  <si>
    <t>АСБ</t>
  </si>
  <si>
    <t>каждые 4000 км</t>
  </si>
  <si>
    <t>Огнезащитная обработка</t>
  </si>
  <si>
    <t>Замена котла</t>
  </si>
  <si>
    <t>Предрейсовый и послерейсовый осмотр автобуса</t>
  </si>
  <si>
    <t>Касперский</t>
  </si>
  <si>
    <t>сбис+касперский</t>
  </si>
  <si>
    <t>Обучение САНминимум</t>
  </si>
  <si>
    <t>Паспорт по отходам</t>
  </si>
  <si>
    <t>Учебники</t>
  </si>
  <si>
    <t>Мебель для учебных кабинетов</t>
  </si>
  <si>
    <t>фильтр воздушный</t>
  </si>
  <si>
    <t>рем.комплект</t>
  </si>
  <si>
    <t>колодка тормоза</t>
  </si>
  <si>
    <t>шины (2 автобуса)</t>
  </si>
  <si>
    <t>фильтр топливный</t>
  </si>
  <si>
    <t>тосол</t>
  </si>
  <si>
    <t>масло</t>
  </si>
  <si>
    <t>Питьевая вода</t>
  </si>
  <si>
    <t xml:space="preserve">Строительные материалы </t>
  </si>
  <si>
    <t>краска</t>
  </si>
  <si>
    <t>колер</t>
  </si>
  <si>
    <t>валик</t>
  </si>
  <si>
    <t>шпатлевка</t>
  </si>
  <si>
    <t>эмаль, уйт спирит</t>
  </si>
  <si>
    <t>Моющие средства</t>
  </si>
  <si>
    <t>Посуда для шк.столовой</t>
  </si>
  <si>
    <t xml:space="preserve">Директор </t>
  </si>
  <si>
    <t>М.В.Благина</t>
  </si>
  <si>
    <t>О.Е.Шумиловская</t>
  </si>
  <si>
    <t xml:space="preserve">                МОУ "Колобовская средняя школа"</t>
  </si>
  <si>
    <t xml:space="preserve">установка </t>
  </si>
  <si>
    <t>Ремонт спортзала</t>
  </si>
  <si>
    <t>Ремонт учебных классов (3ед.)</t>
  </si>
  <si>
    <t>Замена оконных блоков</t>
  </si>
  <si>
    <t>Установка подвесного потолка на 3 этаже</t>
  </si>
  <si>
    <t>Ремонт эвакуационных выходов</t>
  </si>
  <si>
    <t>Ремонт лестничных маршей (2ед.)</t>
  </si>
  <si>
    <t>ИТОГО на год кл. 310</t>
  </si>
  <si>
    <t>бампер</t>
  </si>
  <si>
    <t>аккумулятор</t>
  </si>
  <si>
    <t>бегунок</t>
  </si>
  <si>
    <t>глушитель</t>
  </si>
  <si>
    <t>рулевая балка</t>
  </si>
  <si>
    <t>шкворень в сборе</t>
  </si>
  <si>
    <t>лампа  галогеновая</t>
  </si>
  <si>
    <t>рем.к-т масляного фильтра</t>
  </si>
  <si>
    <t>фильтр масляный</t>
  </si>
  <si>
    <t>Линолеум</t>
  </si>
  <si>
    <t>Краска</t>
  </si>
  <si>
    <t>Посуда для школьной столовой</t>
  </si>
  <si>
    <t>Строительные материалы</t>
  </si>
  <si>
    <t>Директор школы:</t>
  </si>
  <si>
    <t>С.С.Ельцов</t>
  </si>
  <si>
    <t xml:space="preserve">   В.А.Морозова</t>
  </si>
  <si>
    <r>
      <t xml:space="preserve">МОУ   Пустошенская СШ      </t>
    </r>
    <r>
      <rPr>
        <u/>
        <sz val="9"/>
        <color indexed="8"/>
        <rFont val="Times New Roman"/>
        <family val="1"/>
        <charset val="204"/>
      </rPr>
      <t>(наименование учреждения)</t>
    </r>
  </si>
  <si>
    <t>краска. Шпатлевка. Цемент</t>
  </si>
  <si>
    <t>канц.товары-бумага</t>
  </si>
  <si>
    <t>бытовая химия</t>
  </si>
  <si>
    <t>прочее</t>
  </si>
  <si>
    <t>кухон работники</t>
  </si>
  <si>
    <t>уборщицы</t>
  </si>
  <si>
    <t>кочегары</t>
  </si>
  <si>
    <t>учебники</t>
  </si>
  <si>
    <t>МКОУ Сергеевская НШ</t>
  </si>
  <si>
    <t>ндс 835.92</t>
  </si>
  <si>
    <t>Текущий ремонт школы</t>
  </si>
  <si>
    <t>ндс 695.52</t>
  </si>
  <si>
    <t>Питание многодет. 1-4 кл.</t>
  </si>
  <si>
    <t>Бумага</t>
  </si>
  <si>
    <t>моющее сре-во</t>
  </si>
  <si>
    <t>катридж</t>
  </si>
  <si>
    <t>чашки, тарелки</t>
  </si>
  <si>
    <t>игрушки</t>
  </si>
  <si>
    <t>канц.товары</t>
  </si>
  <si>
    <t>краска,кисти</t>
  </si>
  <si>
    <t>Пед.перс.зар.плата в месяц</t>
  </si>
  <si>
    <t>Дезинфекция</t>
  </si>
  <si>
    <t>текущий ремонт пола в вестибюле</t>
  </si>
  <si>
    <t>Участие в конкурсе Интеграция</t>
  </si>
  <si>
    <t>вода бутилированная</t>
  </si>
  <si>
    <t>изготовление забора</t>
  </si>
  <si>
    <t>Директор                                                                    Жохов И. Н.</t>
  </si>
  <si>
    <t>Главный  бухгалтер                                                           Гришанкова Н. Н.</t>
  </si>
  <si>
    <r>
      <t xml:space="preserve">                МКОУ Чернцкая ОШ                                         </t>
    </r>
    <r>
      <rPr>
        <u/>
        <sz val="9"/>
        <color indexed="8"/>
        <rFont val="Times New Roman"/>
        <family val="1"/>
        <charset val="204"/>
      </rPr>
      <t>(наименование учреждения)</t>
    </r>
  </si>
  <si>
    <t>измерение и испыт.эл.оборудования</t>
  </si>
  <si>
    <t>техн.предрейс.и послерейс.осмотр авт.</t>
  </si>
  <si>
    <t>аккарицидная обработка</t>
  </si>
  <si>
    <t>ремонт центрального крыльца</t>
  </si>
  <si>
    <t>смена оконных блоков 2-го этажа</t>
  </si>
  <si>
    <t>энергетический паспорт</t>
  </si>
  <si>
    <t>разработка сметной документации</t>
  </si>
  <si>
    <t>техн.обсл.компьютерн.и орг.техники</t>
  </si>
  <si>
    <t>количество</t>
  </si>
  <si>
    <t>Тонер для картриджа</t>
  </si>
  <si>
    <t>Директор</t>
  </si>
  <si>
    <t>Г.Н.Попадьина</t>
  </si>
  <si>
    <t>М.В.Казакова</t>
  </si>
  <si>
    <r>
      <t xml:space="preserve">            МКОУ Клочковская НШ                           </t>
    </r>
    <r>
      <rPr>
        <u/>
        <sz val="9"/>
        <color indexed="8"/>
        <rFont val="Times New Roman"/>
        <family val="1"/>
        <charset val="204"/>
      </rPr>
      <t>(наименование учреждения)</t>
    </r>
  </si>
  <si>
    <t>Кол-во в год(бочка)</t>
  </si>
  <si>
    <t>тариф  (244.61 * 12 мес)</t>
  </si>
  <si>
    <t>Установка 4 шт * 16000</t>
  </si>
  <si>
    <t>ТО Электроприборов и электроустановок</t>
  </si>
  <si>
    <t>?</t>
  </si>
  <si>
    <t>Сумма(38*2)*225=17100</t>
  </si>
  <si>
    <t>Услуги прачки(39 руб*30 кг*11мес)</t>
  </si>
  <si>
    <t>Кол-во заправок ( 6 картриджей * 3 раза)</t>
  </si>
  <si>
    <t>Анализ воды</t>
  </si>
  <si>
    <t>Текущий ремонт оргтехники</t>
  </si>
  <si>
    <t>Кол-во мес.(3 кв * 7500)+(1кв*2500)=25000</t>
  </si>
  <si>
    <t>Сумма в год</t>
  </si>
  <si>
    <t>Обучение водителей(2 раза в год * 1000)</t>
  </si>
  <si>
    <t>Бланки</t>
  </si>
  <si>
    <t>Кол-во(путев.лист, меню,журналы)</t>
  </si>
  <si>
    <t>Лицензирование Касперский</t>
  </si>
  <si>
    <t>Сумма (12 мес * 3500)</t>
  </si>
  <si>
    <t>Сумма (37 руб. * 2 *225)</t>
  </si>
  <si>
    <t>Мыло(35*15)</t>
  </si>
  <si>
    <t>туал.бумага(46*8)</t>
  </si>
  <si>
    <t>чист.средства(24*150)</t>
  </si>
  <si>
    <t>Тряпки(6*25)</t>
  </si>
  <si>
    <t>Ведро(4*120)</t>
  </si>
  <si>
    <t>Швабра(4*150)</t>
  </si>
  <si>
    <t>Кастрюля(5*700)</t>
  </si>
  <si>
    <t>Блюдо эмал.(6*300)</t>
  </si>
  <si>
    <t>Чашки(26*50)</t>
  </si>
  <si>
    <t>Тарелки(26*50)</t>
  </si>
  <si>
    <t>Средства дезинфекции(24*200)</t>
  </si>
  <si>
    <t>Щетки(5*150)</t>
  </si>
  <si>
    <t>Доска разделочна (2*150)</t>
  </si>
  <si>
    <t>Нож(2*100)</t>
  </si>
  <si>
    <t>Бумажные полотенца(40шт*9мес*40руб)</t>
  </si>
  <si>
    <t>Маркеры(2шт*8чел*35руб)</t>
  </si>
  <si>
    <t>Клей(2шт*8чел*25руб)</t>
  </si>
  <si>
    <t>Ручки(25 шт*6чел*5руб)</t>
  </si>
  <si>
    <t>Ручки(12шт*2чел*5руб)</t>
  </si>
  <si>
    <t>Карандаш(7шт*6чел*5руб)</t>
  </si>
  <si>
    <t>Скобы(5шт*4чел*33руб)</t>
  </si>
  <si>
    <t>Скрепки(2шт*4чел*45руб)</t>
  </si>
  <si>
    <t>Штрих(2шт*6чел*43 руб)</t>
  </si>
  <si>
    <t>Ластик(6шт*5чел*3 руб)</t>
  </si>
  <si>
    <t>Файлы(1000шт*2чел*1.4руб)</t>
  </si>
  <si>
    <t>Папки Дело(20шт*6чел*10.58руб)</t>
  </si>
  <si>
    <t>Регистраторы(5шт*3чел*96руб)</t>
  </si>
  <si>
    <t>Папки скоросшиватели(10шт*5чел*50руб)</t>
  </si>
  <si>
    <t>Мел(4шт*1чел*90руб)</t>
  </si>
  <si>
    <t>Плакаты(4шт*1чел*300руб)</t>
  </si>
  <si>
    <t>Кан.принадлежности к школе (краски, карандаши, фото бумага, цветная бумага,клей,кисти,фомастеры)</t>
  </si>
  <si>
    <t>Бумага для принтера (72*220)</t>
  </si>
  <si>
    <t>Расходные материалы к орг.техники</t>
  </si>
  <si>
    <t>Строй. материалы для косметического ремонта(линолеум,краска)</t>
  </si>
  <si>
    <t>Вытяжка для кухни</t>
  </si>
  <si>
    <t>Итого на год кл. 310</t>
  </si>
  <si>
    <r>
      <t xml:space="preserve">                      </t>
    </r>
    <r>
      <rPr>
        <u/>
        <sz val="14"/>
        <color theme="1"/>
        <rFont val="Times New Roman"/>
        <family val="1"/>
        <charset val="204"/>
      </rPr>
      <t xml:space="preserve">                        </t>
    </r>
    <r>
      <rPr>
        <u/>
        <sz val="14"/>
        <color indexed="8"/>
        <rFont val="Times New Roman"/>
        <family val="1"/>
        <charset val="204"/>
      </rPr>
      <t>(МОУ Перемиловская СШ)</t>
    </r>
  </si>
  <si>
    <t>Расчет</t>
  </si>
  <si>
    <t>СБИС</t>
  </si>
  <si>
    <t>ИТОГО на год кл 221</t>
  </si>
  <si>
    <t>Цена 1 поездки Иваново</t>
  </si>
  <si>
    <t>18 руб+21 руб+85 руб*2 поездки</t>
  </si>
  <si>
    <t>ИТОГО на год кл 212</t>
  </si>
  <si>
    <t>тарифы с 01.07.2017г.</t>
  </si>
  <si>
    <t>Кол-во куб.м в год (контейнер)</t>
  </si>
  <si>
    <t>ТО-2</t>
  </si>
  <si>
    <t>Электротехн.измерен.электропроводки и электрооборуд</t>
  </si>
  <si>
    <t>Замена дверей в учебных кабинетах</t>
  </si>
  <si>
    <t>косметический ремонт кабинета физика</t>
  </si>
  <si>
    <t>ремонт фасады здания школы</t>
  </si>
  <si>
    <t>Приобрет.прогр.обеспеч.</t>
  </si>
  <si>
    <t>Касперский 34 шт</t>
  </si>
  <si>
    <t xml:space="preserve">офис </t>
  </si>
  <si>
    <t xml:space="preserve"> бухг. 1чел*9450*3000</t>
  </si>
  <si>
    <t>администр 2 чел*3000</t>
  </si>
  <si>
    <t>приобретение учебников</t>
  </si>
  <si>
    <t>приобретение огнетушителей</t>
  </si>
  <si>
    <t>660 руб*10 шт</t>
  </si>
  <si>
    <t>Итого на год кл.310</t>
  </si>
  <si>
    <t>моторное масло</t>
  </si>
  <si>
    <t>70л*150 руб</t>
  </si>
  <si>
    <t>70л*70 руб</t>
  </si>
  <si>
    <t>автошина</t>
  </si>
  <si>
    <t>6*6800</t>
  </si>
  <si>
    <t>рессора</t>
  </si>
  <si>
    <t>2*10300</t>
  </si>
  <si>
    <t>втулка</t>
  </si>
  <si>
    <t>30*50</t>
  </si>
  <si>
    <t>энергоаккумулятор</t>
  </si>
  <si>
    <t>2*2900</t>
  </si>
  <si>
    <t>насос гидроусилителя</t>
  </si>
  <si>
    <t>1*5800</t>
  </si>
  <si>
    <t>незамерзайка</t>
  </si>
  <si>
    <t>20*20</t>
  </si>
  <si>
    <t>подушка рессоры</t>
  </si>
  <si>
    <t>4*322</t>
  </si>
  <si>
    <t>подшипник шкворня (опорный)</t>
  </si>
  <si>
    <t>4*585</t>
  </si>
  <si>
    <t>пружина балансира</t>
  </si>
  <si>
    <t>2*640</t>
  </si>
  <si>
    <t>2*35</t>
  </si>
  <si>
    <t>2*180</t>
  </si>
  <si>
    <t>фильтр маслянный</t>
  </si>
  <si>
    <t>2*120</t>
  </si>
  <si>
    <t>регулятор тормоза</t>
  </si>
  <si>
    <t>3*3875</t>
  </si>
  <si>
    <t>очиститель двигателя</t>
  </si>
  <si>
    <t>2*260</t>
  </si>
  <si>
    <t>20 шт *20 руб</t>
  </si>
  <si>
    <t>чистящий порошок</t>
  </si>
  <si>
    <t>30 шт *34,80</t>
  </si>
  <si>
    <t>моющее средство</t>
  </si>
  <si>
    <t>77 шт *39,20 руб</t>
  </si>
  <si>
    <t>белизна</t>
  </si>
  <si>
    <t>35 шт *27 руб</t>
  </si>
  <si>
    <t>70 шт *5,70 руб</t>
  </si>
  <si>
    <t>дерушка</t>
  </si>
  <si>
    <t>50 шт *8,20</t>
  </si>
  <si>
    <t>жидкое мыло</t>
  </si>
  <si>
    <t>6 шт*158 руб</t>
  </si>
  <si>
    <t>лампа люминцентная</t>
  </si>
  <si>
    <t>25 шт*45 руб</t>
  </si>
  <si>
    <t>полотенце бумажное</t>
  </si>
  <si>
    <t>9 шт *50</t>
  </si>
  <si>
    <t>средство для мытья окон</t>
  </si>
  <si>
    <t>2*89,40 руб</t>
  </si>
  <si>
    <t>тряпка для пола</t>
  </si>
  <si>
    <t>50 шт *42,80</t>
  </si>
  <si>
    <t>щетка для пола деревянная</t>
  </si>
  <si>
    <t>15 шт *89 руб</t>
  </si>
  <si>
    <t>стакан</t>
  </si>
  <si>
    <t>100 шт *15</t>
  </si>
  <si>
    <t>тарелка</t>
  </si>
  <si>
    <t>100 шт *38 руб</t>
  </si>
  <si>
    <t>ложка</t>
  </si>
  <si>
    <t>50 шт *25,80</t>
  </si>
  <si>
    <t>сковородка</t>
  </si>
  <si>
    <t>2 шт *850</t>
  </si>
  <si>
    <t>губка для посуды</t>
  </si>
  <si>
    <t>60 шт *3,50</t>
  </si>
  <si>
    <t>халат для защиты от общих произ.загрязн.</t>
  </si>
  <si>
    <t>7 шт*450 руб</t>
  </si>
  <si>
    <t>перчатки с полимерным покрытием</t>
  </si>
  <si>
    <t>36 шт*50 руб</t>
  </si>
  <si>
    <t>костюм для защиты от общих производст.загрязнений</t>
  </si>
  <si>
    <t>6 шт*520 руб</t>
  </si>
  <si>
    <t>жилет сигнальный</t>
  </si>
  <si>
    <t>2 шт *200 руб</t>
  </si>
  <si>
    <t>фартук  из полимерных материалов с нагрудником</t>
  </si>
  <si>
    <t>4 шт *120 руб</t>
  </si>
  <si>
    <t>перчатки резиновые или полимерных материалов</t>
  </si>
  <si>
    <t>28 шт *50 руб</t>
  </si>
  <si>
    <t>100 шт *220</t>
  </si>
  <si>
    <t xml:space="preserve">папка </t>
  </si>
  <si>
    <t>25шт *15</t>
  </si>
  <si>
    <t>картридж</t>
  </si>
  <si>
    <t>5 шт *1050</t>
  </si>
  <si>
    <t>бумага для тахографа</t>
  </si>
  <si>
    <t>5 кор*1000</t>
  </si>
  <si>
    <t>2шт *220</t>
  </si>
  <si>
    <t>новый автобус</t>
  </si>
  <si>
    <t>Директор МОУ Перемиловская СШ</t>
  </si>
  <si>
    <t>Н.В.Шаповал</t>
  </si>
  <si>
    <t>О.А.Манухина</t>
  </si>
  <si>
    <t>Ср. зар.плата в месяц руб./1работника</t>
  </si>
  <si>
    <t>Холодная вода</t>
  </si>
  <si>
    <t>Горячая вода</t>
  </si>
  <si>
    <t>Мониторинг  АПС</t>
  </si>
  <si>
    <t xml:space="preserve">ТО тревожной кнопки </t>
  </si>
  <si>
    <r>
      <t xml:space="preserve"> </t>
    </r>
    <r>
      <rPr>
        <i/>
        <sz val="9"/>
        <color theme="5" tint="-0.249977111117893"/>
        <rFont val="Times New Roman"/>
        <family val="1"/>
        <charset val="204"/>
      </rPr>
      <t>Дети от ЦЗ</t>
    </r>
  </si>
  <si>
    <t>Обслуживание  Глонасс</t>
  </si>
  <si>
    <t>ЦЗН</t>
  </si>
  <si>
    <t>ст.226</t>
  </si>
  <si>
    <t>Установка подвесного потолка</t>
  </si>
  <si>
    <t>Ремонт лестничных маршей</t>
  </si>
  <si>
    <t>ЦЗН и уст.</t>
  </si>
  <si>
    <t xml:space="preserve">Ремонт (в т.ч. косметический) учебных классов </t>
  </si>
  <si>
    <t>Текущий ремонт пола в вестибюле</t>
  </si>
  <si>
    <t>классов</t>
  </si>
  <si>
    <t>Текущий ремонт крыльца</t>
  </si>
  <si>
    <t>36,2% кочегары</t>
  </si>
  <si>
    <t>Обслуживание эл.журнала</t>
  </si>
  <si>
    <t>cn/225</t>
  </si>
  <si>
    <t xml:space="preserve">Сумма </t>
  </si>
  <si>
    <t>Питание детей в ДГ</t>
  </si>
  <si>
    <t>Средства бытовой химии</t>
  </si>
  <si>
    <t>Бутилированная вода</t>
  </si>
  <si>
    <t>Проверка</t>
  </si>
  <si>
    <t>ИТОГО:</t>
  </si>
  <si>
    <t>ст.340</t>
  </si>
  <si>
    <t>ст.310</t>
  </si>
  <si>
    <t>ст.290</t>
  </si>
  <si>
    <t>ст.223</t>
  </si>
  <si>
    <t>ст.222</t>
  </si>
  <si>
    <t>ст.221</t>
  </si>
  <si>
    <t>ст.213</t>
  </si>
  <si>
    <t>ст.212</t>
  </si>
  <si>
    <t>ст.211</t>
  </si>
  <si>
    <t>ВСЕГО</t>
  </si>
  <si>
    <t>Наименование учреждения</t>
  </si>
  <si>
    <t>ШС1</t>
  </si>
  <si>
    <t>ШС2</t>
  </si>
  <si>
    <t>ШС3</t>
  </si>
  <si>
    <t>ШС4</t>
  </si>
  <si>
    <t>ШС5</t>
  </si>
  <si>
    <t>ШО2</t>
  </si>
  <si>
    <t>ШО3</t>
  </si>
  <si>
    <t>ШН2</t>
  </si>
  <si>
    <t>Ремонт фасады здания школы</t>
  </si>
  <si>
    <t>Балансировка, шиномонтаж транс. средств</t>
  </si>
  <si>
    <t xml:space="preserve">Расходы на общее образование Управления образования администрации Шуйского муниципального района на 2017 год </t>
  </si>
  <si>
    <t>909 0702 10 2 01 00110</t>
  </si>
  <si>
    <t>Руководители  зар.плата в месяц</t>
  </si>
  <si>
    <t>Пед.раб. зар.плата в месяц</t>
  </si>
  <si>
    <t>Кол-во ставок водитель</t>
  </si>
  <si>
    <t>Кол-во ставок МОП на МРОТ</t>
  </si>
  <si>
    <t>в т.ч. Допл. до МРОТ в месяц</t>
  </si>
  <si>
    <t>Кол-во авт.</t>
  </si>
  <si>
    <t>909 0702 10 2 01</t>
  </si>
  <si>
    <t>Цена, руб.</t>
  </si>
  <si>
    <t>Обучение (по охране труда, пожарной безопасности, по электробезопасности, обуч.1 мед.пом., сан.мин., БДД)</t>
  </si>
  <si>
    <t>Спец. оценка условий труда</t>
  </si>
  <si>
    <t>Расходные материалы, зап.части к орг.технике</t>
  </si>
  <si>
    <t>ТО и ремонт  АПС</t>
  </si>
  <si>
    <t xml:space="preserve">ремонт </t>
  </si>
  <si>
    <t>Подготовка мол. спец-в</t>
  </si>
  <si>
    <t>подготовка мол.спец-в</t>
  </si>
  <si>
    <t>ФОТ с начислениями (с ЦЗН)</t>
  </si>
  <si>
    <t>Возмещение расходов за мед.осмотр</t>
  </si>
  <si>
    <t>Возмещение расходов за проезд</t>
  </si>
  <si>
    <t>Цена проезда туда-обратно, рублей</t>
  </si>
  <si>
    <t>Цена , рублей</t>
  </si>
  <si>
    <t>Бензин</t>
  </si>
  <si>
    <t>Масло</t>
  </si>
  <si>
    <t xml:space="preserve">Установка </t>
  </si>
  <si>
    <t>лагерь</t>
  </si>
  <si>
    <t>ВСЕГО на год кл.340</t>
  </si>
  <si>
    <t>Родительская плата</t>
  </si>
  <si>
    <t>Услуги по выгрузке данных с тахографа, калибровка</t>
  </si>
  <si>
    <t>Прочее ( медаль, плата за негат.возд., гос.пошлина)</t>
  </si>
  <si>
    <t xml:space="preserve">Кол-во ставок </t>
  </si>
  <si>
    <t>Ср. зар.плата в месяц руб./1ст</t>
  </si>
  <si>
    <t xml:space="preserve">Расходы на общее образование Управления образования администрации Шуйского муниципального района на 2020 год </t>
  </si>
  <si>
    <t>Поверка приборов учета тепла, воды, эл.энергии</t>
  </si>
  <si>
    <t>Спиливание аварийных деревьев</t>
  </si>
  <si>
    <t>Питание детей в летний период (малозатратные формы)</t>
  </si>
  <si>
    <t>ст.228 (монтаж обор., установка ПС,ОС)</t>
  </si>
  <si>
    <t>Услуги в обл. инф-х технологий,ТО компьютерн.и орг.техники, заправка картриджей</t>
  </si>
  <si>
    <t>Видеонаблюдение (установка и обслуживание), домофон</t>
  </si>
  <si>
    <t>226-227</t>
  </si>
  <si>
    <t>корректировка</t>
  </si>
  <si>
    <t>КОСГУ</t>
  </si>
  <si>
    <t>ИТОГО</t>
  </si>
  <si>
    <t>Руководитель</t>
  </si>
  <si>
    <t>_____________________________________</t>
  </si>
  <si>
    <t>Кол-во ставок сторожа,кочегары,операторы газ.кот.</t>
  </si>
  <si>
    <r>
      <t xml:space="preserve"> </t>
    </r>
    <r>
      <rPr>
        <b/>
        <i/>
        <sz val="9"/>
        <color theme="5" tint="-0.249977111117893"/>
        <rFont val="Times New Roman"/>
        <family val="1"/>
        <charset val="204"/>
      </rPr>
      <t>Дети от ЦЗН</t>
    </r>
  </si>
  <si>
    <t>Абонентское обслуживание "СБИС"в год</t>
  </si>
  <si>
    <t>Телематические услуги ГЛОНАСС</t>
  </si>
  <si>
    <t>Вывоз ТКО</t>
  </si>
  <si>
    <t>Вывоз ТБО и мусора</t>
  </si>
  <si>
    <t>Разовые услуги СЭС</t>
  </si>
  <si>
    <t>дезинфекция</t>
  </si>
  <si>
    <t>дезинсекция</t>
  </si>
  <si>
    <t>Услуги электрика</t>
  </si>
  <si>
    <t>ТО эл.оборудования и электроустройств</t>
  </si>
  <si>
    <t>Проверка дымоходов, вент.систем</t>
  </si>
  <si>
    <t>Поверка средств измерений</t>
  </si>
  <si>
    <t>Проверка качества огнезащитной обработки чердачных помещений, обработка</t>
  </si>
  <si>
    <t>Обработка</t>
  </si>
  <si>
    <r>
      <t xml:space="preserve">Вывоз и утилизация ламп </t>
    </r>
    <r>
      <rPr>
        <b/>
        <sz val="8"/>
        <color rgb="FF7030A0"/>
        <rFont val="Times New Roman"/>
        <family val="1"/>
        <charset val="204"/>
      </rPr>
      <t>(если договором на вывоз мусора и ТБО предусмотрены в том числе вывоз и утилизация энергосберегающих ламп)</t>
    </r>
  </si>
  <si>
    <t>Промывка и опресов.сист.отопл</t>
  </si>
  <si>
    <t>Обслуж.приборов учета тепла</t>
  </si>
  <si>
    <t>Обслуживание орг.техники</t>
  </si>
  <si>
    <t>Чистка крыши от снега</t>
  </si>
  <si>
    <t>Спиловка деревьев</t>
  </si>
  <si>
    <t>Мед.осмотр водителей, кух.раб., операторов газ.кот.</t>
  </si>
  <si>
    <t>Приобретение программного обеспечения</t>
  </si>
  <si>
    <t>СБИСС++, Камин</t>
  </si>
  <si>
    <t>Нотариальные услуги, объявления в газете</t>
  </si>
  <si>
    <t>Страховка( тр.ср-ва+пассажиров)</t>
  </si>
  <si>
    <t>Стоянка автобуса, ТО</t>
  </si>
  <si>
    <r>
      <t xml:space="preserve">Вывоз и утилизация ламп </t>
    </r>
    <r>
      <rPr>
        <b/>
        <sz val="8"/>
        <color rgb="FF7030A0"/>
        <rFont val="Times New Roman"/>
        <family val="1"/>
        <charset val="204"/>
      </rPr>
      <t>(если заключен договор (контракт) только на услуги и работы по утилизации, захоронению отходов)</t>
    </r>
  </si>
  <si>
    <t>Оценка профрисков</t>
  </si>
  <si>
    <t>% невыходов</t>
  </si>
  <si>
    <t>Канц.товары, бумага</t>
  </si>
  <si>
    <t xml:space="preserve">Строй материалы </t>
  </si>
  <si>
    <t>Родительская плата (казенные учреждения)</t>
  </si>
  <si>
    <t>Лагерь (МБ)</t>
  </si>
  <si>
    <t>зар.плата за год</t>
  </si>
  <si>
    <t>нач.на зар.плата за год</t>
  </si>
  <si>
    <t>% невыходов ставим по своему ООУ ожидаемое</t>
  </si>
  <si>
    <t>% невыходов ставим по своей ДГ ожидаемое</t>
  </si>
  <si>
    <t xml:space="preserve">Питание детейс ОВЗ, обучающихся по адаптированным программам </t>
  </si>
  <si>
    <t>ИТОГО ПИТАНИЕ</t>
  </si>
  <si>
    <t>Потребность  в средствах  бюджета Шуйского муниципального района на общее образование  на 2024-2027 годы (в рублях)</t>
  </si>
  <si>
    <t>2024 (ПФХД на 01.01.2024)</t>
  </si>
  <si>
    <t>2024 ож.факт</t>
  </si>
  <si>
    <t>Средства местного бюджета на 2024-2027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</si>
</sst>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%"/>
  </numFmts>
  <fonts count="56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b/>
      <sz val="11"/>
      <color indexed="8"/>
      <name val="Times New Roman"/>
      <family val="1"/>
      <charset val="204"/>
    </font>
    <font>
      <b/>
      <i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9"/>
      <color theme="5" tint="-0.249977111117893"/>
      <name val="Times New Roman"/>
      <family val="1"/>
      <charset val="204"/>
    </font>
    <font>
      <i/>
      <sz val="9"/>
      <color theme="5" tint="-0.249977111117893"/>
      <name val="Times New Roman"/>
      <family val="1"/>
      <charset val="204"/>
    </font>
    <font>
      <sz val="9"/>
      <color theme="5" tint="-0.249977111117893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9"/>
      <color theme="5" tint="-0.24997711111789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7" tint="-0.249977111117893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7030A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9" fillId="0" borderId="0"/>
    <xf numFmtId="9" fontId="28" fillId="0" borderId="0" applyFont="0" applyFill="0" applyBorder="0" applyAlignment="0" applyProtection="0"/>
  </cellStyleXfs>
  <cellXfs count="485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4" fontId="8" fillId="5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horizontal="center" vertical="center"/>
    </xf>
    <xf numFmtId="0" fontId="15" fillId="6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4" fontId="6" fillId="0" borderId="0" xfId="0" applyNumberFormat="1" applyFont="1" applyAlignment="1">
      <alignment horizontal="right" vertical="center"/>
    </xf>
    <xf numFmtId="4" fontId="7" fillId="5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5" fillId="2" borderId="0" xfId="0" applyFont="1" applyFill="1" applyAlignment="1">
      <alignment horizontal="right" vertical="center" wrapText="1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4" fontId="18" fillId="2" borderId="1" xfId="0" applyNumberFormat="1" applyFont="1" applyFill="1" applyBorder="1" applyAlignment="1">
      <alignment horizontal="right" vertical="center"/>
    </xf>
    <xf numFmtId="2" fontId="15" fillId="2" borderId="1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 vertical="center"/>
    </xf>
    <xf numFmtId="0" fontId="15" fillId="3" borderId="1" xfId="0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right" vertical="center"/>
    </xf>
    <xf numFmtId="0" fontId="15" fillId="0" borderId="1" xfId="0" applyNumberFormat="1" applyFont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4" fontId="10" fillId="10" borderId="1" xfId="0" applyNumberFormat="1" applyFont="1" applyFill="1" applyBorder="1" applyAlignment="1">
      <alignment horizontal="center" vertical="center"/>
    </xf>
    <xf numFmtId="166" fontId="7" fillId="0" borderId="1" xfId="2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right" vertical="center" wrapText="1"/>
    </xf>
    <xf numFmtId="0" fontId="7" fillId="0" borderId="0" xfId="0" applyNumberFormat="1" applyFont="1" applyAlignment="1">
      <alignment horizontal="right" vertical="center"/>
    </xf>
    <xf numFmtId="165" fontId="10" fillId="10" borderId="1" xfId="0" applyNumberFormat="1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165" fontId="24" fillId="10" borderId="1" xfId="0" applyNumberFormat="1" applyFont="1" applyFill="1" applyBorder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6" fillId="0" borderId="0" xfId="0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7" fillId="3" borderId="0" xfId="0" applyFont="1" applyFill="1" applyAlignment="1">
      <alignment vertical="center" wrapText="1"/>
    </xf>
    <xf numFmtId="4" fontId="7" fillId="3" borderId="1" xfId="0" applyNumberFormat="1" applyFont="1" applyFill="1" applyBorder="1" applyAlignment="1">
      <alignment vertical="center" wrapText="1"/>
    </xf>
    <xf numFmtId="4" fontId="7" fillId="3" borderId="0" xfId="0" applyNumberFormat="1" applyFont="1" applyFill="1" applyAlignment="1">
      <alignment vertical="center" wrapText="1"/>
    </xf>
    <xf numFmtId="165" fontId="10" fillId="10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66" fontId="7" fillId="0" borderId="1" xfId="2" applyNumberFormat="1" applyFont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4" fontId="15" fillId="5" borderId="1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vertical="center" wrapText="1"/>
    </xf>
    <xf numFmtId="4" fontId="7" fillId="5" borderId="2" xfId="0" applyNumberFormat="1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vertical="center" wrapText="1"/>
    </xf>
    <xf numFmtId="4" fontId="7" fillId="5" borderId="1" xfId="1" applyNumberFormat="1" applyFont="1" applyFill="1" applyBorder="1" applyAlignment="1">
      <alignment horizontal="center" vertical="center" wrapText="1"/>
    </xf>
    <xf numFmtId="4" fontId="7" fillId="5" borderId="0" xfId="0" applyNumberFormat="1" applyFont="1" applyFill="1" applyAlignment="1">
      <alignment vertical="center" wrapText="1"/>
    </xf>
    <xf numFmtId="0" fontId="18" fillId="5" borderId="1" xfId="0" applyFont="1" applyFill="1" applyBorder="1" applyAlignment="1">
      <alignment vertical="center" wrapText="1"/>
    </xf>
    <xf numFmtId="4" fontId="7" fillId="5" borderId="0" xfId="0" applyNumberFormat="1" applyFont="1" applyFill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left" vertical="center" wrapText="1"/>
    </xf>
    <xf numFmtId="4" fontId="18" fillId="5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166" fontId="7" fillId="0" borderId="1" xfId="2" applyNumberFormat="1" applyFont="1" applyBorder="1" applyAlignment="1" applyProtection="1">
      <alignment horizontal="right"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7" fillId="5" borderId="1" xfId="0" applyFont="1" applyFill="1" applyBorder="1" applyAlignment="1" applyProtection="1">
      <alignment vertical="center" wrapText="1"/>
      <protection locked="0"/>
    </xf>
    <xf numFmtId="4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>
      <alignment horizontal="right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15" fillId="6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Border="1" applyAlignment="1" applyProtection="1">
      <alignment horizontal="right" vertical="center" wrapText="1"/>
      <protection locked="0"/>
    </xf>
    <xf numFmtId="4" fontId="10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1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4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4" fontId="10" fillId="0" borderId="0" xfId="0" applyNumberFormat="1" applyFont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4" fontId="21" fillId="3" borderId="1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4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4" fontId="26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4" fontId="15" fillId="3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vertical="center"/>
    </xf>
    <xf numFmtId="4" fontId="10" fillId="3" borderId="0" xfId="0" applyNumberFormat="1" applyFont="1" applyFill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4" fontId="15" fillId="3" borderId="1" xfId="0" applyNumberFormat="1" applyFont="1" applyFill="1" applyBorder="1" applyAlignment="1">
      <alignment vertical="center" wrapText="1"/>
    </xf>
    <xf numFmtId="4" fontId="21" fillId="2" borderId="1" xfId="0" applyNumberFormat="1" applyFont="1" applyFill="1" applyBorder="1" applyAlignment="1">
      <alignment horizontal="right" vertical="center"/>
    </xf>
    <xf numFmtId="166" fontId="7" fillId="2" borderId="1" xfId="2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11" borderId="1" xfId="0" applyFont="1" applyFill="1" applyBorder="1" applyAlignment="1">
      <alignment vertical="center" wrapText="1"/>
    </xf>
    <xf numFmtId="4" fontId="10" fillId="11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vertical="center" wrapText="1"/>
    </xf>
    <xf numFmtId="4" fontId="10" fillId="12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vertical="center" wrapText="1"/>
    </xf>
    <xf numFmtId="4" fontId="7" fillId="12" borderId="1" xfId="0" applyNumberFormat="1" applyFont="1" applyFill="1" applyBorder="1" applyAlignment="1">
      <alignment horizontal="center" vertical="center"/>
    </xf>
    <xf numFmtId="0" fontId="0" fillId="0" borderId="0" xfId="0"/>
    <xf numFmtId="0" fontId="15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vertical="center" wrapText="1"/>
    </xf>
    <xf numFmtId="4" fontId="18" fillId="7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center" vertical="center"/>
    </xf>
    <xf numFmtId="0" fontId="18" fillId="8" borderId="1" xfId="0" applyFont="1" applyFill="1" applyBorder="1" applyAlignment="1">
      <alignment vertical="center" wrapText="1"/>
    </xf>
    <xf numFmtId="4" fontId="18" fillId="8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vertical="center" wrapText="1"/>
    </xf>
    <xf numFmtId="4" fontId="15" fillId="7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vertical="center" wrapText="1"/>
    </xf>
    <xf numFmtId="4" fontId="15" fillId="6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vertical="center" wrapText="1"/>
    </xf>
    <xf numFmtId="4" fontId="18" fillId="9" borderId="1" xfId="0" applyNumberFormat="1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4" fontId="5" fillId="7" borderId="1" xfId="0" applyNumberFormat="1" applyFont="1" applyFill="1" applyBorder="1" applyAlignment="1">
      <alignment horizontal="center" vertical="center"/>
    </xf>
    <xf numFmtId="4" fontId="15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16" fillId="9" borderId="1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3" applyNumberFormat="1" applyFont="1" applyBorder="1" applyAlignment="1">
      <alignment horizontal="left" vertical="top" wrapText="1"/>
    </xf>
    <xf numFmtId="2" fontId="18" fillId="8" borderId="1" xfId="4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4" fontId="18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4" borderId="6" xfId="0" applyFont="1" applyFill="1" applyBorder="1" applyAlignment="1">
      <alignment vertical="center" wrapText="1"/>
    </xf>
    <xf numFmtId="0" fontId="7" fillId="13" borderId="1" xfId="0" applyFont="1" applyFill="1" applyBorder="1" applyAlignment="1">
      <alignment vertical="center" wrapText="1"/>
    </xf>
    <xf numFmtId="4" fontId="7" fillId="13" borderId="1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 wrapText="1"/>
    </xf>
    <xf numFmtId="0" fontId="31" fillId="2" borderId="8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left" vertical="center"/>
    </xf>
    <xf numFmtId="4" fontId="31" fillId="2" borderId="7" xfId="0" applyNumberFormat="1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4" fontId="8" fillId="5" borderId="0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vertical="center" wrapText="1"/>
    </xf>
    <xf numFmtId="4" fontId="10" fillId="13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10" fillId="14" borderId="1" xfId="0" applyFont="1" applyFill="1" applyBorder="1" applyAlignment="1">
      <alignment vertical="center" wrapText="1"/>
    </xf>
    <xf numFmtId="4" fontId="10" fillId="14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vertical="center" wrapText="1"/>
    </xf>
    <xf numFmtId="4" fontId="10" fillId="15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7" fontId="10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horizontal="center" vertical="center"/>
    </xf>
    <xf numFmtId="10" fontId="22" fillId="0" borderId="0" xfId="0" applyNumberFormat="1" applyFont="1" applyAlignment="1">
      <alignment vertical="center"/>
    </xf>
    <xf numFmtId="4" fontId="11" fillId="3" borderId="1" xfId="0" applyNumberFormat="1" applyFont="1" applyFill="1" applyBorder="1" applyAlignment="1">
      <alignment horizontal="center" vertical="center"/>
    </xf>
    <xf numFmtId="4" fontId="22" fillId="0" borderId="0" xfId="0" applyNumberFormat="1" applyFont="1" applyAlignment="1">
      <alignment vertical="center"/>
    </xf>
    <xf numFmtId="0" fontId="22" fillId="0" borderId="1" xfId="0" applyFont="1" applyBorder="1" applyAlignment="1">
      <alignment vertical="center" wrapText="1"/>
    </xf>
    <xf numFmtId="4" fontId="22" fillId="0" borderId="1" xfId="0" applyNumberFormat="1" applyFont="1" applyBorder="1" applyAlignment="1">
      <alignment horizontal="center" vertical="center"/>
    </xf>
    <xf numFmtId="4" fontId="7" fillId="0" borderId="0" xfId="0" applyNumberFormat="1" applyFont="1"/>
    <xf numFmtId="3" fontId="7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4" fontId="36" fillId="3" borderId="1" xfId="0" applyNumberFormat="1" applyFont="1" applyFill="1" applyBorder="1" applyAlignment="1">
      <alignment vertical="center" wrapText="1"/>
    </xf>
    <xf numFmtId="4" fontId="38" fillId="3" borderId="0" xfId="0" applyNumberFormat="1" applyFont="1" applyFill="1" applyAlignment="1">
      <alignment vertical="center" wrapText="1"/>
    </xf>
    <xf numFmtId="4" fontId="38" fillId="3" borderId="1" xfId="0" applyNumberFormat="1" applyFont="1" applyFill="1" applyBorder="1" applyAlignment="1">
      <alignment horizontal="center" vertical="center" wrapText="1"/>
    </xf>
    <xf numFmtId="4" fontId="38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2" fillId="3" borderId="1" xfId="0" applyNumberFormat="1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165" fontId="24" fillId="10" borderId="0" xfId="0" applyNumberFormat="1" applyFont="1" applyFill="1" applyBorder="1" applyAlignment="1">
      <alignment horizontal="center" vertical="center"/>
    </xf>
    <xf numFmtId="165" fontId="10" fillId="10" borderId="0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center" wrapText="1"/>
    </xf>
    <xf numFmtId="4" fontId="11" fillId="7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4" fontId="23" fillId="0" borderId="0" xfId="0" applyNumberFormat="1" applyFont="1" applyAlignment="1">
      <alignment horizontal="center" vertical="center" wrapText="1"/>
    </xf>
    <xf numFmtId="4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 applyProtection="1">
      <alignment vertical="center" wrapText="1"/>
      <protection locked="0"/>
    </xf>
    <xf numFmtId="0" fontId="22" fillId="3" borderId="1" xfId="0" applyFont="1" applyFill="1" applyBorder="1" applyAlignment="1">
      <alignment vertical="center"/>
    </xf>
    <xf numFmtId="0" fontId="21" fillId="0" borderId="1" xfId="0" applyNumberFormat="1" applyFont="1" applyBorder="1" applyAlignment="1">
      <alignment horizontal="right" vertical="center" wrapText="1"/>
    </xf>
    <xf numFmtId="4" fontId="5" fillId="5" borderId="1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4" fontId="18" fillId="5" borderId="1" xfId="0" applyNumberFormat="1" applyFont="1" applyFill="1" applyBorder="1" applyAlignment="1">
      <alignment vertical="center" wrapText="1"/>
    </xf>
    <xf numFmtId="4" fontId="7" fillId="0" borderId="0" xfId="0" applyNumberFormat="1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vertical="center" wrapText="1"/>
      <protection locked="0"/>
    </xf>
    <xf numFmtId="4" fontId="39" fillId="4" borderId="1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1" xfId="0" applyFont="1" applyBorder="1" applyAlignment="1">
      <alignment vertical="center" wrapText="1"/>
    </xf>
    <xf numFmtId="4" fontId="39" fillId="0" borderId="1" xfId="0" applyNumberFormat="1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7" fillId="0" borderId="1" xfId="2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4" fontId="22" fillId="5" borderId="1" xfId="0" applyNumberFormat="1" applyFont="1" applyFill="1" applyBorder="1" applyAlignment="1">
      <alignment horizontal="center" vertical="center"/>
    </xf>
    <xf numFmtId="4" fontId="22" fillId="5" borderId="1" xfId="0" applyNumberFormat="1" applyFont="1" applyFill="1" applyBorder="1" applyAlignment="1">
      <alignment horizontal="center" vertical="center" wrapText="1"/>
    </xf>
    <xf numFmtId="4" fontId="22" fillId="5" borderId="1" xfId="0" applyNumberFormat="1" applyFont="1" applyFill="1" applyBorder="1" applyAlignment="1">
      <alignment vertical="center" wrapText="1"/>
    </xf>
    <xf numFmtId="4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NumberFormat="1" applyFont="1" applyBorder="1" applyAlignment="1">
      <alignment horizontal="right" vertical="center"/>
    </xf>
    <xf numFmtId="0" fontId="42" fillId="14" borderId="2" xfId="0" applyFont="1" applyFill="1" applyBorder="1" applyAlignment="1">
      <alignment horizontal="center" vertical="center"/>
    </xf>
    <xf numFmtId="0" fontId="20" fillId="14" borderId="1" xfId="0" applyFont="1" applyFill="1" applyBorder="1" applyAlignment="1">
      <alignment horizontal="center" vertical="center" wrapText="1"/>
    </xf>
    <xf numFmtId="4" fontId="20" fillId="14" borderId="1" xfId="0" applyNumberFormat="1" applyFont="1" applyFill="1" applyBorder="1" applyAlignment="1">
      <alignment horizontal="center" vertical="center"/>
    </xf>
    <xf numFmtId="0" fontId="20" fillId="14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24" fillId="10" borderId="0" xfId="0" applyFont="1" applyFill="1" applyBorder="1" applyAlignment="1">
      <alignment horizontal="center" vertical="center"/>
    </xf>
    <xf numFmtId="4" fontId="36" fillId="3" borderId="1" xfId="0" applyNumberFormat="1" applyFont="1" applyFill="1" applyBorder="1" applyAlignment="1">
      <alignment horizontal="center" vertical="center" wrapText="1"/>
    </xf>
    <xf numFmtId="4" fontId="36" fillId="3" borderId="0" xfId="0" applyNumberFormat="1" applyFont="1" applyFill="1" applyAlignment="1">
      <alignment vertical="center" wrapText="1"/>
    </xf>
    <xf numFmtId="0" fontId="7" fillId="3" borderId="0" xfId="0" applyFont="1" applyFill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left" vertical="center" wrapText="1"/>
    </xf>
    <xf numFmtId="4" fontId="7" fillId="3" borderId="1" xfId="2" applyNumberFormat="1" applyFont="1" applyFill="1" applyBorder="1" applyAlignment="1">
      <alignment horizontal="center" vertical="center" wrapText="1"/>
    </xf>
    <xf numFmtId="4" fontId="7" fillId="3" borderId="0" xfId="0" applyNumberFormat="1" applyFont="1" applyFill="1" applyAlignment="1">
      <alignment horizontal="center" vertical="center" wrapText="1"/>
    </xf>
    <xf numFmtId="4" fontId="10" fillId="4" borderId="1" xfId="0" applyNumberFormat="1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/>
    </xf>
    <xf numFmtId="4" fontId="7" fillId="2" borderId="0" xfId="0" applyNumberFormat="1" applyFont="1" applyFill="1" applyAlignment="1">
      <alignment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15" fillId="2" borderId="5" xfId="0" applyNumberFormat="1" applyFont="1" applyFill="1" applyBorder="1" applyAlignment="1">
      <alignment horizontal="center" vertical="center" wrapText="1"/>
    </xf>
    <xf numFmtId="4" fontId="7" fillId="4" borderId="5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4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/>
    </xf>
    <xf numFmtId="0" fontId="6" fillId="17" borderId="0" xfId="0" applyFont="1" applyFill="1" applyAlignment="1">
      <alignment vertical="center"/>
    </xf>
    <xf numFmtId="0" fontId="24" fillId="17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45" fillId="13" borderId="1" xfId="0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6" fillId="16" borderId="4" xfId="0" applyFont="1" applyFill="1" applyBorder="1" applyAlignment="1">
      <alignment horizontal="center" vertical="center" wrapText="1"/>
    </xf>
    <xf numFmtId="0" fontId="45" fillId="16" borderId="4" xfId="0" applyFont="1" applyFill="1" applyBorder="1" applyAlignment="1">
      <alignment horizontal="center" vertical="center" wrapText="1"/>
    </xf>
    <xf numFmtId="0" fontId="45" fillId="1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7" fillId="0" borderId="0" xfId="0" applyFont="1"/>
    <xf numFmtId="0" fontId="20" fillId="16" borderId="1" xfId="0" applyFont="1" applyFill="1" applyBorder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4" fontId="21" fillId="4" borderId="1" xfId="0" applyNumberFormat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49" fillId="16" borderId="1" xfId="0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50" fillId="2" borderId="1" xfId="0" applyNumberFormat="1" applyFont="1" applyFill="1" applyBorder="1" applyAlignment="1">
      <alignment horizontal="center" vertical="center" wrapText="1"/>
    </xf>
    <xf numFmtId="4" fontId="20" fillId="4" borderId="1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 vertical="center" wrapText="1"/>
    </xf>
    <xf numFmtId="0" fontId="20" fillId="0" borderId="0" xfId="0" applyFont="1"/>
    <xf numFmtId="0" fontId="51" fillId="0" borderId="0" xfId="0" applyFont="1"/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" fontId="52" fillId="2" borderId="1" xfId="0" applyNumberFormat="1" applyFont="1" applyFill="1" applyBorder="1" applyAlignment="1">
      <alignment horizontal="center" vertical="center" wrapText="1"/>
    </xf>
    <xf numFmtId="4" fontId="52" fillId="4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44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/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vertical="center" wrapText="1"/>
    </xf>
    <xf numFmtId="4" fontId="15" fillId="5" borderId="1" xfId="0" applyNumberFormat="1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166" fontId="7" fillId="5" borderId="1" xfId="2" applyNumberFormat="1" applyFont="1" applyFill="1" applyBorder="1" applyAlignment="1">
      <alignment horizontal="center" vertical="center" wrapText="1"/>
    </xf>
    <xf numFmtId="4" fontId="44" fillId="3" borderId="1" xfId="0" applyNumberFormat="1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9" fontId="7" fillId="2" borderId="1" xfId="2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right" vertical="center" wrapText="1"/>
    </xf>
    <xf numFmtId="166" fontId="7" fillId="5" borderId="1" xfId="2" applyNumberFormat="1" applyFont="1" applyFill="1" applyBorder="1" applyAlignment="1">
      <alignment horizontal="right" vertical="center" wrapText="1"/>
    </xf>
    <xf numFmtId="0" fontId="7" fillId="5" borderId="0" xfId="0" applyFont="1" applyFill="1" applyAlignment="1">
      <alignment horizontal="right" vertical="center" wrapText="1"/>
    </xf>
    <xf numFmtId="0" fontId="24" fillId="17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6" fillId="2" borderId="0" xfId="0" applyFont="1" applyFill="1" applyBorder="1" applyAlignment="1">
      <alignment horizontal="right" vertical="center"/>
    </xf>
    <xf numFmtId="4" fontId="38" fillId="2" borderId="1" xfId="0" applyNumberFormat="1" applyFont="1" applyFill="1" applyBorder="1" applyAlignment="1">
      <alignment horizontal="right" vertical="center" wrapText="1"/>
    </xf>
    <xf numFmtId="4" fontId="38" fillId="2" borderId="0" xfId="0" applyNumberFormat="1" applyFont="1" applyFill="1" applyAlignment="1">
      <alignment horizontal="right" vertical="center" wrapText="1"/>
    </xf>
    <xf numFmtId="0" fontId="41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NumberFormat="1" applyFont="1" applyAlignment="1">
      <alignment horizontal="right" vertical="center"/>
    </xf>
    <xf numFmtId="9" fontId="22" fillId="2" borderId="1" xfId="2" applyFont="1" applyFill="1" applyBorder="1" applyAlignment="1">
      <alignment horizontal="right" vertical="center"/>
    </xf>
    <xf numFmtId="0" fontId="10" fillId="14" borderId="0" xfId="0" applyFont="1" applyFill="1" applyAlignment="1">
      <alignment vertical="center"/>
    </xf>
    <xf numFmtId="0" fontId="55" fillId="4" borderId="1" xfId="0" applyFont="1" applyFill="1" applyBorder="1" applyAlignment="1">
      <alignment vertical="center" wrapText="1"/>
    </xf>
    <xf numFmtId="4" fontId="55" fillId="4" borderId="1" xfId="0" applyNumberFormat="1" applyFont="1" applyFill="1" applyBorder="1" applyAlignment="1">
      <alignment horizontal="center" vertical="center"/>
    </xf>
    <xf numFmtId="0" fontId="55" fillId="4" borderId="0" xfId="0" applyFont="1" applyFill="1" applyAlignment="1">
      <alignment vertical="center"/>
    </xf>
    <xf numFmtId="0" fontId="48" fillId="17" borderId="1" xfId="0" applyFont="1" applyFill="1" applyBorder="1" applyAlignment="1">
      <alignment horizontal="center" vertical="center"/>
    </xf>
    <xf numFmtId="4" fontId="48" fillId="4" borderId="1" xfId="0" applyNumberFormat="1" applyFont="1" applyFill="1" applyBorder="1" applyAlignment="1">
      <alignment horizontal="center" vertical="center"/>
    </xf>
    <xf numFmtId="0" fontId="48" fillId="4" borderId="0" xfId="0" applyFont="1" applyFill="1" applyAlignment="1">
      <alignment vertical="center"/>
    </xf>
    <xf numFmtId="0" fontId="24" fillId="19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4" fontId="7" fillId="17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4" fillId="20" borderId="1" xfId="0" applyFont="1" applyFill="1" applyBorder="1" applyAlignment="1">
      <alignment horizontal="left" vertical="center" wrapText="1"/>
    </xf>
    <xf numFmtId="4" fontId="24" fillId="2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12" xfId="0" applyFont="1" applyBorder="1" applyAlignment="1">
      <alignment vertical="center" wrapText="1"/>
    </xf>
    <xf numFmtId="0" fontId="45" fillId="0" borderId="0" xfId="0" applyFont="1" applyAlignment="1">
      <alignment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4" xfId="0" applyFont="1" applyFill="1" applyBorder="1" applyAlignment="1">
      <alignment horizontal="center" vertical="center" wrapText="1"/>
    </xf>
    <xf numFmtId="0" fontId="7" fillId="16" borderId="2" xfId="0" applyFont="1" applyFill="1" applyBorder="1" applyAlignment="1">
      <alignment horizontal="center" vertical="center" wrapText="1"/>
    </xf>
    <xf numFmtId="0" fontId="7" fillId="16" borderId="4" xfId="0" applyFont="1" applyFill="1" applyBorder="1" applyAlignment="1">
      <alignment horizontal="center" vertical="center" wrapText="1"/>
    </xf>
    <xf numFmtId="49" fontId="8" fillId="16" borderId="5" xfId="0" applyNumberFormat="1" applyFont="1" applyFill="1" applyBorder="1" applyAlignment="1">
      <alignment horizontal="center" vertical="center" wrapText="1"/>
    </xf>
    <xf numFmtId="49" fontId="8" fillId="16" borderId="12" xfId="0" applyNumberFormat="1" applyFont="1" applyFill="1" applyBorder="1" applyAlignment="1">
      <alignment horizontal="center" vertical="center" wrapText="1"/>
    </xf>
    <xf numFmtId="49" fontId="8" fillId="16" borderId="6" xfId="0" applyNumberFormat="1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7" fillId="16" borderId="5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6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 vertical="center" wrapText="1"/>
    </xf>
    <xf numFmtId="0" fontId="7" fillId="18" borderId="12" xfId="0" applyFont="1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7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</cellXfs>
  <cellStyles count="5">
    <cellStyle name="Обычный" xfId="0" builtinId="0"/>
    <cellStyle name="Обычный_340" xfId="3"/>
    <cellStyle name="Процентный" xfId="2" builtinId="5"/>
    <cellStyle name="Процентный 2" xfId="4"/>
    <cellStyle name="Финансовый" xfId="1" builtinId="3"/>
  </cellStyles>
  <dxfs count="75"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66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83"/>
  <sheetViews>
    <sheetView view="pageBreakPreview" zoomScale="110" zoomScaleSheetLayoutView="110" workbookViewId="0">
      <selection activeCell="A3" sqref="A3:XFD3"/>
    </sheetView>
  </sheetViews>
  <sheetFormatPr defaultColWidth="9.109375" defaultRowHeight="13.8" x14ac:dyDescent="0.25"/>
  <cols>
    <col min="1" max="1" width="5" style="5" customWidth="1"/>
    <col min="2" max="2" width="30.109375" style="1" customWidth="1"/>
    <col min="3" max="3" width="41" style="3" customWidth="1"/>
    <col min="4" max="4" width="14.88671875" style="1" customWidth="1"/>
    <col min="5" max="16384" width="9.109375" style="1"/>
  </cols>
  <sheetData>
    <row r="1" spans="1:3" x14ac:dyDescent="0.25">
      <c r="C1" s="4" t="s">
        <v>95</v>
      </c>
    </row>
    <row r="2" spans="1:3" ht="17.25" customHeight="1" x14ac:dyDescent="0.25">
      <c r="A2" s="437" t="s">
        <v>97</v>
      </c>
      <c r="B2" s="437"/>
      <c r="C2" s="437"/>
    </row>
    <row r="3" spans="1:3" ht="17.25" customHeight="1" x14ac:dyDescent="0.25">
      <c r="A3" s="7"/>
      <c r="B3" s="441" t="s">
        <v>98</v>
      </c>
      <c r="C3" s="441"/>
    </row>
    <row r="4" spans="1:3" s="2" customFormat="1" ht="27" customHeight="1" x14ac:dyDescent="0.25">
      <c r="A4" s="9"/>
      <c r="B4" s="6"/>
      <c r="C4" s="9" t="s">
        <v>99</v>
      </c>
    </row>
    <row r="5" spans="1:3" s="13" customFormat="1" ht="12" x14ac:dyDescent="0.3">
      <c r="A5" s="440">
        <v>211</v>
      </c>
      <c r="B5" s="11" t="s">
        <v>100</v>
      </c>
      <c r="C5" s="12"/>
    </row>
    <row r="6" spans="1:3" s="13" customFormat="1" ht="12" x14ac:dyDescent="0.3">
      <c r="A6" s="440"/>
      <c r="B6" s="14" t="s">
        <v>55</v>
      </c>
      <c r="C6" s="15"/>
    </row>
    <row r="7" spans="1:3" s="13" customFormat="1" ht="12" x14ac:dyDescent="0.3">
      <c r="A7" s="440"/>
      <c r="B7" s="14" t="s">
        <v>56</v>
      </c>
      <c r="C7" s="15"/>
    </row>
    <row r="8" spans="1:3" s="13" customFormat="1" ht="12" x14ac:dyDescent="0.3">
      <c r="A8" s="440"/>
      <c r="B8" s="11" t="s">
        <v>57</v>
      </c>
      <c r="C8" s="12"/>
    </row>
    <row r="9" spans="1:3" s="13" customFormat="1" ht="12" x14ac:dyDescent="0.3">
      <c r="A9" s="440"/>
      <c r="B9" s="14" t="s">
        <v>55</v>
      </c>
      <c r="C9" s="15"/>
    </row>
    <row r="10" spans="1:3" s="13" customFormat="1" ht="12" x14ac:dyDescent="0.3">
      <c r="A10" s="440"/>
      <c r="B10" s="14" t="s">
        <v>56</v>
      </c>
      <c r="C10" s="15"/>
    </row>
    <row r="11" spans="1:3" s="13" customFormat="1" ht="17.25" customHeight="1" x14ac:dyDescent="0.3">
      <c r="A11" s="440"/>
      <c r="B11" s="16" t="s">
        <v>94</v>
      </c>
      <c r="C11" s="17"/>
    </row>
    <row r="12" spans="1:3" s="13" customFormat="1" ht="16.5" customHeight="1" x14ac:dyDescent="0.3">
      <c r="A12" s="10">
        <v>213</v>
      </c>
      <c r="B12" s="16" t="s">
        <v>93</v>
      </c>
      <c r="C12" s="17"/>
    </row>
    <row r="13" spans="1:3" s="13" customFormat="1" ht="12" x14ac:dyDescent="0.3">
      <c r="A13" s="440">
        <v>221</v>
      </c>
      <c r="B13" s="18" t="s">
        <v>58</v>
      </c>
      <c r="C13" s="12"/>
    </row>
    <row r="14" spans="1:3" s="13" customFormat="1" ht="12" x14ac:dyDescent="0.3">
      <c r="A14" s="440"/>
      <c r="B14" s="14" t="s">
        <v>59</v>
      </c>
      <c r="C14" s="15"/>
    </row>
    <row r="15" spans="1:3" s="13" customFormat="1" ht="12" x14ac:dyDescent="0.3">
      <c r="A15" s="440"/>
      <c r="B15" s="14" t="s">
        <v>61</v>
      </c>
      <c r="C15" s="15"/>
    </row>
    <row r="16" spans="1:3" s="13" customFormat="1" ht="12" x14ac:dyDescent="0.3">
      <c r="A16" s="440"/>
      <c r="B16" s="18" t="s">
        <v>0</v>
      </c>
      <c r="C16" s="12"/>
    </row>
    <row r="17" spans="1:3" s="13" customFormat="1" ht="12" x14ac:dyDescent="0.3">
      <c r="A17" s="440"/>
      <c r="B17" s="14" t="s">
        <v>79</v>
      </c>
      <c r="C17" s="15"/>
    </row>
    <row r="18" spans="1:3" s="13" customFormat="1" ht="12" x14ac:dyDescent="0.3">
      <c r="A18" s="440"/>
      <c r="B18" s="14" t="s">
        <v>60</v>
      </c>
      <c r="C18" s="15"/>
    </row>
    <row r="19" spans="1:3" s="13" customFormat="1" ht="12" x14ac:dyDescent="0.3">
      <c r="A19" s="440"/>
      <c r="B19" s="18" t="s">
        <v>1</v>
      </c>
      <c r="C19" s="12"/>
    </row>
    <row r="20" spans="1:3" s="13" customFormat="1" ht="12" x14ac:dyDescent="0.3">
      <c r="A20" s="440"/>
      <c r="B20" s="14" t="s">
        <v>80</v>
      </c>
      <c r="C20" s="15"/>
    </row>
    <row r="21" spans="1:3" s="13" customFormat="1" ht="12" x14ac:dyDescent="0.3">
      <c r="A21" s="440"/>
      <c r="B21" s="14" t="s">
        <v>107</v>
      </c>
      <c r="C21" s="15"/>
    </row>
    <row r="22" spans="1:3" s="13" customFormat="1" ht="15" customHeight="1" x14ac:dyDescent="0.3">
      <c r="A22" s="440"/>
      <c r="B22" s="16" t="s">
        <v>92</v>
      </c>
      <c r="C22" s="17"/>
    </row>
    <row r="23" spans="1:3" s="13" customFormat="1" ht="12" x14ac:dyDescent="0.3">
      <c r="A23" s="440">
        <v>222</v>
      </c>
      <c r="B23" s="18" t="s">
        <v>62</v>
      </c>
      <c r="C23" s="19"/>
    </row>
    <row r="24" spans="1:3" s="13" customFormat="1" ht="12" x14ac:dyDescent="0.3">
      <c r="A24" s="440"/>
      <c r="B24" s="14" t="s">
        <v>81</v>
      </c>
      <c r="C24" s="15"/>
    </row>
    <row r="25" spans="1:3" s="13" customFormat="1" ht="12" x14ac:dyDescent="0.3">
      <c r="A25" s="440"/>
      <c r="B25" s="14" t="s">
        <v>106</v>
      </c>
      <c r="C25" s="15"/>
    </row>
    <row r="26" spans="1:3" s="13" customFormat="1" ht="20.25" customHeight="1" x14ac:dyDescent="0.3">
      <c r="A26" s="440"/>
      <c r="B26" s="16" t="s">
        <v>91</v>
      </c>
      <c r="C26" s="17"/>
    </row>
    <row r="27" spans="1:3" s="13" customFormat="1" ht="12" x14ac:dyDescent="0.3">
      <c r="A27" s="440">
        <v>223</v>
      </c>
      <c r="B27" s="11" t="s">
        <v>2</v>
      </c>
      <c r="C27" s="12"/>
    </row>
    <row r="28" spans="1:3" s="13" customFormat="1" ht="12" x14ac:dyDescent="0.3">
      <c r="A28" s="440"/>
      <c r="B28" s="14" t="s">
        <v>82</v>
      </c>
      <c r="C28" s="15"/>
    </row>
    <row r="29" spans="1:3" s="13" customFormat="1" ht="12" x14ac:dyDescent="0.3">
      <c r="A29" s="440"/>
      <c r="B29" s="14" t="s">
        <v>108</v>
      </c>
      <c r="C29" s="15"/>
    </row>
    <row r="30" spans="1:3" s="13" customFormat="1" ht="12" x14ac:dyDescent="0.3">
      <c r="A30" s="440"/>
      <c r="B30" s="11" t="s">
        <v>3</v>
      </c>
      <c r="C30" s="12"/>
    </row>
    <row r="31" spans="1:3" s="13" customFormat="1" ht="12" x14ac:dyDescent="0.3">
      <c r="A31" s="440"/>
      <c r="B31" s="14" t="s">
        <v>83</v>
      </c>
      <c r="C31" s="15"/>
    </row>
    <row r="32" spans="1:3" s="13" customFormat="1" ht="12" x14ac:dyDescent="0.3">
      <c r="A32" s="440"/>
      <c r="B32" s="14" t="s">
        <v>63</v>
      </c>
      <c r="C32" s="15"/>
    </row>
    <row r="33" spans="1:3" s="13" customFormat="1" ht="12" x14ac:dyDescent="0.3">
      <c r="A33" s="440"/>
      <c r="B33" s="11" t="s">
        <v>4</v>
      </c>
      <c r="C33" s="12"/>
    </row>
    <row r="34" spans="1:3" s="13" customFormat="1" ht="12" x14ac:dyDescent="0.3">
      <c r="A34" s="440"/>
      <c r="B34" s="14" t="s">
        <v>84</v>
      </c>
      <c r="C34" s="15"/>
    </row>
    <row r="35" spans="1:3" s="13" customFormat="1" ht="12" x14ac:dyDescent="0.3">
      <c r="A35" s="440"/>
      <c r="B35" s="14" t="s">
        <v>108</v>
      </c>
      <c r="C35" s="15"/>
    </row>
    <row r="36" spans="1:3" s="13" customFormat="1" ht="12" x14ac:dyDescent="0.3">
      <c r="A36" s="440"/>
      <c r="B36" s="11" t="s">
        <v>29</v>
      </c>
      <c r="C36" s="12"/>
    </row>
    <row r="37" spans="1:3" s="13" customFormat="1" ht="12" x14ac:dyDescent="0.3">
      <c r="A37" s="440"/>
      <c r="B37" s="14" t="s">
        <v>84</v>
      </c>
      <c r="C37" s="15"/>
    </row>
    <row r="38" spans="1:3" s="13" customFormat="1" ht="12" x14ac:dyDescent="0.3">
      <c r="A38" s="440"/>
      <c r="B38" s="14" t="s">
        <v>108</v>
      </c>
      <c r="C38" s="15"/>
    </row>
    <row r="39" spans="1:3" s="13" customFormat="1" ht="12" x14ac:dyDescent="0.3">
      <c r="A39" s="440"/>
      <c r="B39" s="11" t="s">
        <v>5</v>
      </c>
      <c r="C39" s="12"/>
    </row>
    <row r="40" spans="1:3" s="13" customFormat="1" ht="12" x14ac:dyDescent="0.3">
      <c r="A40" s="440"/>
      <c r="B40" s="14" t="s">
        <v>84</v>
      </c>
      <c r="C40" s="15"/>
    </row>
    <row r="41" spans="1:3" s="13" customFormat="1" ht="12" x14ac:dyDescent="0.3">
      <c r="A41" s="440"/>
      <c r="B41" s="14" t="s">
        <v>108</v>
      </c>
      <c r="C41" s="15"/>
    </row>
    <row r="42" spans="1:3" s="13" customFormat="1" ht="12" x14ac:dyDescent="0.3">
      <c r="A42" s="440"/>
      <c r="B42" s="11" t="s">
        <v>25</v>
      </c>
      <c r="C42" s="12"/>
    </row>
    <row r="43" spans="1:3" s="13" customFormat="1" ht="12" x14ac:dyDescent="0.3">
      <c r="A43" s="440"/>
      <c r="B43" s="14" t="s">
        <v>67</v>
      </c>
      <c r="C43" s="15"/>
    </row>
    <row r="44" spans="1:3" s="13" customFormat="1" ht="12" x14ac:dyDescent="0.3">
      <c r="A44" s="440"/>
      <c r="B44" s="14" t="s">
        <v>108</v>
      </c>
      <c r="C44" s="15"/>
    </row>
    <row r="45" spans="1:3" s="13" customFormat="1" ht="15.75" customHeight="1" x14ac:dyDescent="0.3">
      <c r="A45" s="440"/>
      <c r="B45" s="16" t="s">
        <v>90</v>
      </c>
      <c r="C45" s="17"/>
    </row>
    <row r="46" spans="1:3" s="13" customFormat="1" ht="12" x14ac:dyDescent="0.3">
      <c r="A46" s="440"/>
      <c r="B46" s="11" t="s">
        <v>6</v>
      </c>
      <c r="C46" s="12"/>
    </row>
    <row r="47" spans="1:3" s="13" customFormat="1" ht="12" x14ac:dyDescent="0.3">
      <c r="A47" s="440"/>
      <c r="B47" s="14" t="s">
        <v>84</v>
      </c>
      <c r="C47" s="15"/>
    </row>
    <row r="48" spans="1:3" s="13" customFormat="1" ht="12" x14ac:dyDescent="0.3">
      <c r="A48" s="440"/>
      <c r="B48" s="14" t="s">
        <v>108</v>
      </c>
      <c r="C48" s="15"/>
    </row>
    <row r="49" spans="1:3" s="13" customFormat="1" ht="12" x14ac:dyDescent="0.3">
      <c r="A49" s="440"/>
      <c r="B49" s="11" t="s">
        <v>7</v>
      </c>
      <c r="C49" s="12"/>
    </row>
    <row r="50" spans="1:3" s="13" customFormat="1" ht="12" x14ac:dyDescent="0.3">
      <c r="A50" s="440"/>
      <c r="B50" s="14" t="s">
        <v>70</v>
      </c>
      <c r="C50" s="15"/>
    </row>
    <row r="51" spans="1:3" s="13" customFormat="1" ht="12" x14ac:dyDescent="0.3">
      <c r="A51" s="440"/>
      <c r="B51" s="14" t="s">
        <v>108</v>
      </c>
      <c r="C51" s="15"/>
    </row>
    <row r="52" spans="1:3" s="13" customFormat="1" ht="30.75" customHeight="1" x14ac:dyDescent="0.3">
      <c r="A52" s="440"/>
      <c r="B52" s="11" t="s">
        <v>54</v>
      </c>
      <c r="C52" s="12"/>
    </row>
    <row r="53" spans="1:3" s="13" customFormat="1" ht="12" x14ac:dyDescent="0.3">
      <c r="A53" s="440"/>
      <c r="B53" s="20" t="s">
        <v>67</v>
      </c>
      <c r="C53" s="21"/>
    </row>
    <row r="54" spans="1:3" s="13" customFormat="1" ht="12" x14ac:dyDescent="0.3">
      <c r="A54" s="440"/>
      <c r="B54" s="14" t="s">
        <v>63</v>
      </c>
      <c r="C54" s="15"/>
    </row>
    <row r="55" spans="1:3" s="13" customFormat="1" ht="12" x14ac:dyDescent="0.3">
      <c r="A55" s="440"/>
      <c r="B55" s="11" t="s">
        <v>8</v>
      </c>
      <c r="C55" s="12"/>
    </row>
    <row r="56" spans="1:3" s="13" customFormat="1" ht="12" x14ac:dyDescent="0.3">
      <c r="A56" s="440"/>
      <c r="B56" s="14" t="s">
        <v>109</v>
      </c>
      <c r="C56" s="15"/>
    </row>
    <row r="57" spans="1:3" s="13" customFormat="1" ht="12" x14ac:dyDescent="0.3">
      <c r="A57" s="440"/>
      <c r="B57" s="14" t="s">
        <v>110</v>
      </c>
      <c r="C57" s="15"/>
    </row>
    <row r="58" spans="1:3" s="13" customFormat="1" ht="12" x14ac:dyDescent="0.3">
      <c r="A58" s="440"/>
      <c r="B58" s="11" t="s">
        <v>28</v>
      </c>
      <c r="C58" s="12"/>
    </row>
    <row r="59" spans="1:3" s="13" customFormat="1" ht="12" x14ac:dyDescent="0.3">
      <c r="A59" s="440"/>
      <c r="B59" s="14" t="s">
        <v>67</v>
      </c>
      <c r="C59" s="15"/>
    </row>
    <row r="60" spans="1:3" s="13" customFormat="1" ht="12" x14ac:dyDescent="0.3">
      <c r="A60" s="440"/>
      <c r="B60" s="14" t="s">
        <v>111</v>
      </c>
      <c r="C60" s="15"/>
    </row>
    <row r="61" spans="1:3" s="13" customFormat="1" ht="12" x14ac:dyDescent="0.3">
      <c r="A61" s="440"/>
      <c r="B61" s="11" t="s">
        <v>96</v>
      </c>
      <c r="C61" s="12"/>
    </row>
    <row r="62" spans="1:3" s="13" customFormat="1" ht="12" x14ac:dyDescent="0.3">
      <c r="A62" s="440"/>
      <c r="B62" s="14" t="s">
        <v>109</v>
      </c>
      <c r="C62" s="15"/>
    </row>
    <row r="63" spans="1:3" s="13" customFormat="1" ht="12" x14ac:dyDescent="0.3">
      <c r="A63" s="440"/>
      <c r="B63" s="14" t="s">
        <v>110</v>
      </c>
      <c r="C63" s="15"/>
    </row>
    <row r="64" spans="1:3" s="13" customFormat="1" ht="12" x14ac:dyDescent="0.3">
      <c r="A64" s="440"/>
      <c r="B64" s="11" t="s">
        <v>103</v>
      </c>
      <c r="C64" s="12"/>
    </row>
    <row r="65" spans="1:3" s="13" customFormat="1" ht="12" x14ac:dyDescent="0.3">
      <c r="A65" s="440"/>
      <c r="B65" s="14" t="s">
        <v>109</v>
      </c>
      <c r="C65" s="15"/>
    </row>
    <row r="66" spans="1:3" s="13" customFormat="1" ht="12" x14ac:dyDescent="0.3">
      <c r="A66" s="440"/>
      <c r="B66" s="14" t="s">
        <v>110</v>
      </c>
      <c r="C66" s="15"/>
    </row>
    <row r="67" spans="1:3" s="13" customFormat="1" ht="18.75" customHeight="1" x14ac:dyDescent="0.3">
      <c r="A67" s="440"/>
      <c r="B67" s="11" t="s">
        <v>26</v>
      </c>
      <c r="C67" s="12"/>
    </row>
    <row r="68" spans="1:3" s="13" customFormat="1" ht="12" x14ac:dyDescent="0.3">
      <c r="A68" s="440"/>
      <c r="B68" s="14" t="s">
        <v>109</v>
      </c>
      <c r="C68" s="15"/>
    </row>
    <row r="69" spans="1:3" s="13" customFormat="1" ht="12" x14ac:dyDescent="0.3">
      <c r="A69" s="440"/>
      <c r="B69" s="14" t="s">
        <v>110</v>
      </c>
      <c r="C69" s="15"/>
    </row>
    <row r="70" spans="1:3" s="13" customFormat="1" ht="12" x14ac:dyDescent="0.3">
      <c r="A70" s="440"/>
      <c r="B70" s="22" t="s">
        <v>101</v>
      </c>
      <c r="C70" s="12"/>
    </row>
    <row r="71" spans="1:3" s="13" customFormat="1" ht="12" x14ac:dyDescent="0.3">
      <c r="A71" s="440"/>
      <c r="B71" s="23" t="s">
        <v>46</v>
      </c>
      <c r="C71" s="24"/>
    </row>
    <row r="72" spans="1:3" s="13" customFormat="1" ht="12" x14ac:dyDescent="0.3">
      <c r="A72" s="440"/>
      <c r="B72" s="11" t="s">
        <v>102</v>
      </c>
      <c r="C72" s="12"/>
    </row>
    <row r="73" spans="1:3" s="13" customFormat="1" ht="12" x14ac:dyDescent="0.3">
      <c r="A73" s="440"/>
      <c r="B73" s="14" t="s">
        <v>67</v>
      </c>
      <c r="C73" s="15"/>
    </row>
    <row r="74" spans="1:3" s="13" customFormat="1" ht="12" x14ac:dyDescent="0.3">
      <c r="A74" s="440"/>
      <c r="B74" s="14" t="s">
        <v>69</v>
      </c>
      <c r="C74" s="15"/>
    </row>
    <row r="75" spans="1:3" s="13" customFormat="1" ht="12" x14ac:dyDescent="0.3">
      <c r="A75" s="440"/>
      <c r="B75" s="14" t="s">
        <v>105</v>
      </c>
      <c r="C75" s="15"/>
    </row>
    <row r="76" spans="1:3" s="13" customFormat="1" ht="12" x14ac:dyDescent="0.3">
      <c r="A76" s="440"/>
      <c r="B76" s="11" t="s">
        <v>31</v>
      </c>
      <c r="C76" s="12"/>
    </row>
    <row r="77" spans="1:3" s="13" customFormat="1" ht="12" x14ac:dyDescent="0.3">
      <c r="A77" s="440"/>
      <c r="B77" s="14" t="s">
        <v>109</v>
      </c>
      <c r="C77" s="15"/>
    </row>
    <row r="78" spans="1:3" s="13" customFormat="1" ht="12" x14ac:dyDescent="0.3">
      <c r="A78" s="440"/>
      <c r="B78" s="14" t="s">
        <v>110</v>
      </c>
      <c r="C78" s="15"/>
    </row>
    <row r="79" spans="1:3" s="13" customFormat="1" ht="12" x14ac:dyDescent="0.3">
      <c r="A79" s="440"/>
      <c r="B79" s="11" t="s">
        <v>32</v>
      </c>
      <c r="C79" s="12"/>
    </row>
    <row r="80" spans="1:3" s="13" customFormat="1" ht="12" x14ac:dyDescent="0.3">
      <c r="A80" s="440"/>
      <c r="B80" s="14" t="s">
        <v>109</v>
      </c>
      <c r="C80" s="15"/>
    </row>
    <row r="81" spans="1:3" s="13" customFormat="1" ht="12" x14ac:dyDescent="0.3">
      <c r="A81" s="440"/>
      <c r="B81" s="14" t="s">
        <v>110</v>
      </c>
      <c r="C81" s="15"/>
    </row>
    <row r="82" spans="1:3" s="13" customFormat="1" ht="12" x14ac:dyDescent="0.3">
      <c r="A82" s="440"/>
      <c r="B82" s="11" t="s">
        <v>49</v>
      </c>
      <c r="C82" s="12"/>
    </row>
    <row r="83" spans="1:3" s="13" customFormat="1" ht="12" x14ac:dyDescent="0.3">
      <c r="A83" s="440"/>
      <c r="B83" s="14" t="s">
        <v>65</v>
      </c>
      <c r="C83" s="15"/>
    </row>
    <row r="84" spans="1:3" s="13" customFormat="1" ht="12" x14ac:dyDescent="0.3">
      <c r="A84" s="440"/>
      <c r="B84" s="14" t="s">
        <v>68</v>
      </c>
      <c r="C84" s="15"/>
    </row>
    <row r="85" spans="1:3" s="13" customFormat="1" ht="12" x14ac:dyDescent="0.3">
      <c r="A85" s="440"/>
      <c r="B85" s="14" t="s">
        <v>63</v>
      </c>
      <c r="C85" s="15"/>
    </row>
    <row r="86" spans="1:3" s="13" customFormat="1" ht="18" customHeight="1" x14ac:dyDescent="0.3">
      <c r="A86" s="440"/>
      <c r="B86" s="11" t="s">
        <v>33</v>
      </c>
      <c r="C86" s="12"/>
    </row>
    <row r="87" spans="1:3" s="13" customFormat="1" ht="12" x14ac:dyDescent="0.3">
      <c r="A87" s="440"/>
      <c r="B87" s="25" t="s">
        <v>43</v>
      </c>
      <c r="C87" s="24"/>
    </row>
    <row r="88" spans="1:3" s="13" customFormat="1" ht="12" x14ac:dyDescent="0.3">
      <c r="A88" s="440"/>
      <c r="B88" s="11" t="s">
        <v>51</v>
      </c>
      <c r="C88" s="12"/>
    </row>
    <row r="89" spans="1:3" s="13" customFormat="1" ht="12" x14ac:dyDescent="0.3">
      <c r="A89" s="440"/>
      <c r="B89" s="14" t="s">
        <v>104</v>
      </c>
      <c r="C89" s="15"/>
    </row>
    <row r="90" spans="1:3" s="13" customFormat="1" ht="12" x14ac:dyDescent="0.3">
      <c r="A90" s="440"/>
      <c r="B90" s="14" t="s">
        <v>105</v>
      </c>
      <c r="C90" s="15"/>
    </row>
    <row r="91" spans="1:3" s="13" customFormat="1" ht="12" x14ac:dyDescent="0.3">
      <c r="A91" s="440"/>
      <c r="B91" s="11" t="s">
        <v>52</v>
      </c>
      <c r="C91" s="12"/>
    </row>
    <row r="92" spans="1:3" s="13" customFormat="1" ht="12" x14ac:dyDescent="0.3">
      <c r="A92" s="440"/>
      <c r="B92" s="14" t="s">
        <v>109</v>
      </c>
      <c r="C92" s="15"/>
    </row>
    <row r="93" spans="1:3" s="13" customFormat="1" ht="12" x14ac:dyDescent="0.3">
      <c r="A93" s="440"/>
      <c r="B93" s="14" t="s">
        <v>110</v>
      </c>
      <c r="C93" s="15"/>
    </row>
    <row r="94" spans="1:3" s="13" customFormat="1" ht="12" x14ac:dyDescent="0.3">
      <c r="A94" s="440"/>
      <c r="B94" s="11" t="s">
        <v>45</v>
      </c>
      <c r="C94" s="12"/>
    </row>
    <row r="95" spans="1:3" s="13" customFormat="1" ht="12" x14ac:dyDescent="0.3">
      <c r="A95" s="440"/>
      <c r="B95" s="25" t="s">
        <v>9</v>
      </c>
      <c r="C95" s="24"/>
    </row>
    <row r="96" spans="1:3" s="36" customFormat="1" ht="12" x14ac:dyDescent="0.3">
      <c r="A96" s="440"/>
      <c r="B96" s="28"/>
      <c r="C96" s="35"/>
    </row>
    <row r="97" spans="1:3" s="36" customFormat="1" ht="12" x14ac:dyDescent="0.3">
      <c r="A97" s="440"/>
      <c r="B97" s="28"/>
      <c r="C97" s="35"/>
    </row>
    <row r="98" spans="1:3" s="36" customFormat="1" ht="12" x14ac:dyDescent="0.3">
      <c r="A98" s="440"/>
      <c r="B98" s="28"/>
      <c r="C98" s="35"/>
    </row>
    <row r="99" spans="1:3" s="36" customFormat="1" ht="12" x14ac:dyDescent="0.3">
      <c r="A99" s="440"/>
      <c r="B99" s="28"/>
      <c r="C99" s="35"/>
    </row>
    <row r="100" spans="1:3" s="36" customFormat="1" ht="12" x14ac:dyDescent="0.3">
      <c r="A100" s="440"/>
      <c r="B100" s="28"/>
      <c r="C100" s="35"/>
    </row>
    <row r="101" spans="1:3" s="13" customFormat="1" ht="29.25" customHeight="1" x14ac:dyDescent="0.3">
      <c r="A101" s="440"/>
      <c r="B101" s="16" t="s">
        <v>89</v>
      </c>
      <c r="C101" s="17"/>
    </row>
    <row r="102" spans="1:3" s="13" customFormat="1" ht="12" x14ac:dyDescent="0.3">
      <c r="A102" s="434">
        <v>226</v>
      </c>
      <c r="B102" s="25" t="s">
        <v>10</v>
      </c>
      <c r="C102" s="24"/>
    </row>
    <row r="103" spans="1:3" s="13" customFormat="1" ht="12" x14ac:dyDescent="0.3">
      <c r="A103" s="435"/>
      <c r="B103" s="11" t="s">
        <v>11</v>
      </c>
      <c r="C103" s="12"/>
    </row>
    <row r="104" spans="1:3" s="13" customFormat="1" ht="12" x14ac:dyDescent="0.3">
      <c r="A104" s="435"/>
      <c r="B104" s="14" t="s">
        <v>68</v>
      </c>
      <c r="C104" s="15"/>
    </row>
    <row r="105" spans="1:3" s="13" customFormat="1" ht="21" customHeight="1" x14ac:dyDescent="0.3">
      <c r="A105" s="435"/>
      <c r="B105" s="14" t="s">
        <v>112</v>
      </c>
      <c r="C105" s="15"/>
    </row>
    <row r="106" spans="1:3" s="13" customFormat="1" ht="27" customHeight="1" x14ac:dyDescent="0.3">
      <c r="A106" s="435"/>
      <c r="B106" s="11" t="s">
        <v>42</v>
      </c>
      <c r="C106" s="12"/>
    </row>
    <row r="107" spans="1:3" s="13" customFormat="1" ht="12" x14ac:dyDescent="0.3">
      <c r="A107" s="435"/>
      <c r="B107" s="14" t="s">
        <v>68</v>
      </c>
      <c r="C107" s="15"/>
    </row>
    <row r="108" spans="1:3" s="13" customFormat="1" ht="12" x14ac:dyDescent="0.3">
      <c r="A108" s="435"/>
      <c r="B108" s="14" t="s">
        <v>112</v>
      </c>
      <c r="C108" s="15"/>
    </row>
    <row r="109" spans="1:3" s="13" customFormat="1" ht="12" x14ac:dyDescent="0.3">
      <c r="A109" s="435"/>
      <c r="B109" s="11" t="s">
        <v>12</v>
      </c>
      <c r="C109" s="12"/>
    </row>
    <row r="110" spans="1:3" s="13" customFormat="1" ht="12" x14ac:dyDescent="0.3">
      <c r="A110" s="435"/>
      <c r="B110" s="14" t="s">
        <v>109</v>
      </c>
      <c r="C110" s="15"/>
    </row>
    <row r="111" spans="1:3" s="13" customFormat="1" ht="12" x14ac:dyDescent="0.3">
      <c r="A111" s="435"/>
      <c r="B111" s="14" t="s">
        <v>110</v>
      </c>
      <c r="C111" s="15"/>
    </row>
    <row r="112" spans="1:3" s="13" customFormat="1" ht="12" x14ac:dyDescent="0.3">
      <c r="A112" s="435"/>
      <c r="B112" s="11" t="s">
        <v>36</v>
      </c>
      <c r="C112" s="12"/>
    </row>
    <row r="113" spans="1:3" s="13" customFormat="1" ht="12" x14ac:dyDescent="0.3">
      <c r="A113" s="435"/>
      <c r="B113" s="14" t="s">
        <v>109</v>
      </c>
      <c r="C113" s="15"/>
    </row>
    <row r="114" spans="1:3" s="13" customFormat="1" ht="12" x14ac:dyDescent="0.3">
      <c r="A114" s="435"/>
      <c r="B114" s="14" t="s">
        <v>110</v>
      </c>
      <c r="C114" s="15"/>
    </row>
    <row r="115" spans="1:3" s="13" customFormat="1" ht="12" x14ac:dyDescent="0.3">
      <c r="A115" s="435"/>
      <c r="B115" s="11" t="s">
        <v>113</v>
      </c>
      <c r="C115" s="12"/>
    </row>
    <row r="116" spans="1:3" s="13" customFormat="1" ht="12" x14ac:dyDescent="0.3">
      <c r="A116" s="435"/>
      <c r="B116" s="14" t="s">
        <v>109</v>
      </c>
      <c r="C116" s="15"/>
    </row>
    <row r="117" spans="1:3" s="13" customFormat="1" ht="12" x14ac:dyDescent="0.3">
      <c r="A117" s="435"/>
      <c r="B117" s="14" t="s">
        <v>110</v>
      </c>
      <c r="C117" s="15"/>
    </row>
    <row r="118" spans="1:3" s="13" customFormat="1" ht="12" x14ac:dyDescent="0.3">
      <c r="A118" s="435"/>
      <c r="B118" s="11" t="s">
        <v>41</v>
      </c>
      <c r="C118" s="12"/>
    </row>
    <row r="119" spans="1:3" s="13" customFormat="1" ht="12" x14ac:dyDescent="0.3">
      <c r="A119" s="435"/>
      <c r="B119" s="14" t="s">
        <v>66</v>
      </c>
      <c r="C119" s="15"/>
    </row>
    <row r="120" spans="1:3" s="13" customFormat="1" ht="12" x14ac:dyDescent="0.3">
      <c r="A120" s="435"/>
      <c r="B120" s="14" t="s">
        <v>63</v>
      </c>
      <c r="C120" s="15"/>
    </row>
    <row r="121" spans="1:3" s="13" customFormat="1" ht="12" x14ac:dyDescent="0.3">
      <c r="A121" s="435"/>
      <c r="B121" s="11" t="s">
        <v>40</v>
      </c>
      <c r="C121" s="12"/>
    </row>
    <row r="122" spans="1:3" s="13" customFormat="1" ht="12" x14ac:dyDescent="0.3">
      <c r="A122" s="435"/>
      <c r="B122" s="14" t="s">
        <v>66</v>
      </c>
      <c r="C122" s="15"/>
    </row>
    <row r="123" spans="1:3" s="13" customFormat="1" ht="12" x14ac:dyDescent="0.3">
      <c r="A123" s="435"/>
      <c r="B123" s="14" t="s">
        <v>63</v>
      </c>
      <c r="C123" s="15"/>
    </row>
    <row r="124" spans="1:3" s="13" customFormat="1" ht="12" x14ac:dyDescent="0.3">
      <c r="A124" s="435"/>
      <c r="B124" s="11" t="s">
        <v>37</v>
      </c>
      <c r="C124" s="12"/>
    </row>
    <row r="125" spans="1:3" s="13" customFormat="1" ht="12" x14ac:dyDescent="0.3">
      <c r="A125" s="435"/>
      <c r="B125" s="25" t="s">
        <v>44</v>
      </c>
      <c r="C125" s="24"/>
    </row>
    <row r="126" spans="1:3" s="13" customFormat="1" ht="12" x14ac:dyDescent="0.3">
      <c r="A126" s="435"/>
      <c r="B126" s="14" t="s">
        <v>66</v>
      </c>
      <c r="C126" s="15"/>
    </row>
    <row r="127" spans="1:3" s="13" customFormat="1" ht="12" x14ac:dyDescent="0.3">
      <c r="A127" s="435"/>
      <c r="B127" s="14" t="s">
        <v>63</v>
      </c>
      <c r="C127" s="15"/>
    </row>
    <row r="128" spans="1:3" s="13" customFormat="1" ht="12" x14ac:dyDescent="0.3">
      <c r="A128" s="435"/>
      <c r="B128" s="25" t="s">
        <v>13</v>
      </c>
      <c r="C128" s="24"/>
    </row>
    <row r="129" spans="1:3" s="13" customFormat="1" ht="12" x14ac:dyDescent="0.3">
      <c r="A129" s="435"/>
      <c r="B129" s="11" t="s">
        <v>14</v>
      </c>
      <c r="C129" s="12"/>
    </row>
    <row r="130" spans="1:3" s="13" customFormat="1" ht="12" x14ac:dyDescent="0.3">
      <c r="A130" s="435"/>
      <c r="B130" s="25" t="s">
        <v>30</v>
      </c>
      <c r="C130" s="24"/>
    </row>
    <row r="131" spans="1:3" s="13" customFormat="1" ht="12" x14ac:dyDescent="0.3">
      <c r="A131" s="435"/>
      <c r="B131" s="11" t="s">
        <v>48</v>
      </c>
      <c r="C131" s="12"/>
    </row>
    <row r="132" spans="1:3" s="13" customFormat="1" ht="12" x14ac:dyDescent="0.3">
      <c r="A132" s="435"/>
      <c r="B132" s="14" t="s">
        <v>66</v>
      </c>
      <c r="C132" s="15"/>
    </row>
    <row r="133" spans="1:3" s="13" customFormat="1" ht="12" x14ac:dyDescent="0.3">
      <c r="A133" s="435"/>
      <c r="B133" s="14" t="s">
        <v>63</v>
      </c>
      <c r="C133" s="15"/>
    </row>
    <row r="134" spans="1:3" s="13" customFormat="1" ht="12" x14ac:dyDescent="0.3">
      <c r="A134" s="435"/>
      <c r="B134" s="11" t="s">
        <v>15</v>
      </c>
      <c r="C134" s="12"/>
    </row>
    <row r="135" spans="1:3" s="13" customFormat="1" ht="12" x14ac:dyDescent="0.3">
      <c r="A135" s="435"/>
      <c r="B135" s="25" t="s">
        <v>16</v>
      </c>
      <c r="C135" s="24"/>
    </row>
    <row r="136" spans="1:3" s="13" customFormat="1" ht="12" x14ac:dyDescent="0.3">
      <c r="A136" s="435"/>
      <c r="B136" s="14" t="s">
        <v>66</v>
      </c>
      <c r="C136" s="15"/>
    </row>
    <row r="137" spans="1:3" s="13" customFormat="1" ht="12" x14ac:dyDescent="0.3">
      <c r="A137" s="435"/>
      <c r="B137" s="14" t="s">
        <v>112</v>
      </c>
      <c r="C137" s="15"/>
    </row>
    <row r="138" spans="1:3" s="13" customFormat="1" ht="12" x14ac:dyDescent="0.3">
      <c r="A138" s="435"/>
      <c r="B138" s="11" t="s">
        <v>34</v>
      </c>
      <c r="C138" s="12"/>
    </row>
    <row r="139" spans="1:3" s="13" customFormat="1" ht="12" x14ac:dyDescent="0.3">
      <c r="A139" s="435"/>
      <c r="B139" s="14" t="s">
        <v>66</v>
      </c>
      <c r="C139" s="15"/>
    </row>
    <row r="140" spans="1:3" s="13" customFormat="1" ht="12" x14ac:dyDescent="0.3">
      <c r="A140" s="435"/>
      <c r="B140" s="14" t="s">
        <v>63</v>
      </c>
      <c r="C140" s="15"/>
    </row>
    <row r="141" spans="1:3" s="13" customFormat="1" ht="12" x14ac:dyDescent="0.3">
      <c r="A141" s="435"/>
      <c r="B141" s="14" t="s">
        <v>66</v>
      </c>
      <c r="C141" s="15"/>
    </row>
    <row r="142" spans="1:3" s="13" customFormat="1" ht="12" x14ac:dyDescent="0.3">
      <c r="A142" s="435"/>
      <c r="B142" s="14" t="s">
        <v>63</v>
      </c>
      <c r="C142" s="15"/>
    </row>
    <row r="143" spans="1:3" s="13" customFormat="1" ht="12" x14ac:dyDescent="0.3">
      <c r="A143" s="435"/>
      <c r="B143" s="11" t="s">
        <v>35</v>
      </c>
      <c r="C143" s="12"/>
    </row>
    <row r="144" spans="1:3" s="13" customFormat="1" ht="12" x14ac:dyDescent="0.3">
      <c r="A144" s="435"/>
      <c r="B144" s="14" t="s">
        <v>64</v>
      </c>
      <c r="C144" s="15"/>
    </row>
    <row r="145" spans="1:3" s="13" customFormat="1" ht="12" x14ac:dyDescent="0.3">
      <c r="A145" s="435"/>
      <c r="B145" s="14" t="s">
        <v>68</v>
      </c>
      <c r="C145" s="15"/>
    </row>
    <row r="146" spans="1:3" s="13" customFormat="1" ht="12" x14ac:dyDescent="0.3">
      <c r="A146" s="435"/>
      <c r="B146" s="14" t="s">
        <v>63</v>
      </c>
      <c r="C146" s="15"/>
    </row>
    <row r="147" spans="1:3" s="13" customFormat="1" ht="27.75" customHeight="1" x14ac:dyDescent="0.3">
      <c r="A147" s="435"/>
      <c r="B147" s="11" t="s">
        <v>50</v>
      </c>
      <c r="C147" s="12"/>
    </row>
    <row r="148" spans="1:3" s="13" customFormat="1" ht="12" x14ac:dyDescent="0.3">
      <c r="A148" s="435"/>
      <c r="B148" s="14" t="s">
        <v>64</v>
      </c>
      <c r="C148" s="15"/>
    </row>
    <row r="149" spans="1:3" s="13" customFormat="1" ht="12" x14ac:dyDescent="0.3">
      <c r="A149" s="435"/>
      <c r="B149" s="14" t="s">
        <v>68</v>
      </c>
      <c r="C149" s="15"/>
    </row>
    <row r="150" spans="1:3" s="13" customFormat="1" ht="12" x14ac:dyDescent="0.3">
      <c r="A150" s="435"/>
      <c r="B150" s="14" t="s">
        <v>63</v>
      </c>
      <c r="C150" s="15"/>
    </row>
    <row r="151" spans="1:3" s="26" customFormat="1" ht="26.25" customHeight="1" x14ac:dyDescent="0.3">
      <c r="A151" s="435"/>
      <c r="B151" s="11" t="s">
        <v>47</v>
      </c>
      <c r="C151" s="12"/>
    </row>
    <row r="152" spans="1:3" s="26" customFormat="1" ht="11.4" x14ac:dyDescent="0.3">
      <c r="A152" s="435"/>
      <c r="B152" s="25" t="s">
        <v>27</v>
      </c>
      <c r="C152" s="24"/>
    </row>
    <row r="153" spans="1:3" s="13" customFormat="1" ht="12" x14ac:dyDescent="0.3">
      <c r="A153" s="435"/>
      <c r="B153" s="14" t="s">
        <v>114</v>
      </c>
      <c r="C153" s="15"/>
    </row>
    <row r="154" spans="1:3" s="13" customFormat="1" ht="12" x14ac:dyDescent="0.3">
      <c r="A154" s="435"/>
      <c r="B154" s="14" t="s">
        <v>110</v>
      </c>
      <c r="C154" s="15"/>
    </row>
    <row r="155" spans="1:3" s="26" customFormat="1" ht="21.75" customHeight="1" x14ac:dyDescent="0.3">
      <c r="A155" s="435"/>
      <c r="B155" s="11" t="s">
        <v>17</v>
      </c>
      <c r="C155" s="12"/>
    </row>
    <row r="156" spans="1:3" s="13" customFormat="1" ht="12" x14ac:dyDescent="0.3">
      <c r="A156" s="435"/>
      <c r="B156" s="14" t="s">
        <v>114</v>
      </c>
      <c r="C156" s="15"/>
    </row>
    <row r="157" spans="1:3" s="13" customFormat="1" ht="18.75" customHeight="1" x14ac:dyDescent="0.3">
      <c r="A157" s="435"/>
      <c r="B157" s="14" t="s">
        <v>110</v>
      </c>
      <c r="C157" s="15"/>
    </row>
    <row r="158" spans="1:3" s="26" customFormat="1" ht="11.4" x14ac:dyDescent="0.3">
      <c r="A158" s="435"/>
      <c r="B158" s="11" t="s">
        <v>18</v>
      </c>
      <c r="C158" s="12"/>
    </row>
    <row r="159" spans="1:3" s="13" customFormat="1" ht="12" x14ac:dyDescent="0.3">
      <c r="A159" s="435"/>
      <c r="B159" s="14" t="s">
        <v>66</v>
      </c>
      <c r="C159" s="15"/>
    </row>
    <row r="160" spans="1:3" s="13" customFormat="1" ht="12" x14ac:dyDescent="0.3">
      <c r="A160" s="435"/>
      <c r="B160" s="14" t="s">
        <v>63</v>
      </c>
      <c r="C160" s="15"/>
    </row>
    <row r="161" spans="1:3" s="26" customFormat="1" ht="11.4" x14ac:dyDescent="0.3">
      <c r="A161" s="435"/>
      <c r="B161" s="11" t="s">
        <v>19</v>
      </c>
      <c r="C161" s="12"/>
    </row>
    <row r="162" spans="1:3" s="13" customFormat="1" ht="12" x14ac:dyDescent="0.3">
      <c r="A162" s="435"/>
      <c r="B162" s="14" t="s">
        <v>66</v>
      </c>
      <c r="C162" s="15"/>
    </row>
    <row r="163" spans="1:3" s="13" customFormat="1" ht="12" x14ac:dyDescent="0.3">
      <c r="A163" s="435"/>
      <c r="B163" s="14" t="s">
        <v>63</v>
      </c>
      <c r="C163" s="15"/>
    </row>
    <row r="164" spans="1:3" s="26" customFormat="1" ht="11.4" x14ac:dyDescent="0.3">
      <c r="A164" s="436"/>
      <c r="B164" s="16" t="s">
        <v>88</v>
      </c>
      <c r="C164" s="17"/>
    </row>
    <row r="165" spans="1:3" s="13" customFormat="1" ht="12" x14ac:dyDescent="0.3">
      <c r="A165" s="440">
        <v>290</v>
      </c>
      <c r="B165" s="27" t="s">
        <v>20</v>
      </c>
      <c r="C165" s="15"/>
    </row>
    <row r="166" spans="1:3" s="13" customFormat="1" ht="12" x14ac:dyDescent="0.3">
      <c r="A166" s="440"/>
      <c r="B166" s="27" t="s">
        <v>21</v>
      </c>
      <c r="C166" s="15"/>
    </row>
    <row r="167" spans="1:3" s="26" customFormat="1" ht="11.4" x14ac:dyDescent="0.3">
      <c r="A167" s="440"/>
      <c r="B167" s="16" t="s">
        <v>87</v>
      </c>
      <c r="C167" s="17"/>
    </row>
    <row r="168" spans="1:3" s="26" customFormat="1" ht="15" customHeight="1" x14ac:dyDescent="0.3">
      <c r="A168" s="434">
        <v>340</v>
      </c>
      <c r="B168" s="11" t="s">
        <v>115</v>
      </c>
      <c r="C168" s="12"/>
    </row>
    <row r="169" spans="1:3" s="13" customFormat="1" ht="12" x14ac:dyDescent="0.3">
      <c r="A169" s="435"/>
      <c r="B169" s="27" t="s">
        <v>75</v>
      </c>
      <c r="C169" s="15"/>
    </row>
    <row r="170" spans="1:3" s="13" customFormat="1" ht="12" x14ac:dyDescent="0.3">
      <c r="A170" s="435"/>
      <c r="B170" s="27" t="s">
        <v>76</v>
      </c>
      <c r="C170" s="15"/>
    </row>
    <row r="171" spans="1:3" s="13" customFormat="1" ht="12" x14ac:dyDescent="0.3">
      <c r="A171" s="435"/>
      <c r="B171" s="27" t="s">
        <v>77</v>
      </c>
      <c r="C171" s="15"/>
    </row>
    <row r="172" spans="1:3" s="26" customFormat="1" ht="11.4" x14ac:dyDescent="0.3">
      <c r="A172" s="435"/>
      <c r="B172" s="11" t="s">
        <v>78</v>
      </c>
      <c r="C172" s="12"/>
    </row>
    <row r="173" spans="1:3" s="13" customFormat="1" ht="12" x14ac:dyDescent="0.3">
      <c r="A173" s="435"/>
      <c r="B173" s="27" t="s">
        <v>75</v>
      </c>
      <c r="C173" s="15"/>
    </row>
    <row r="174" spans="1:3" s="13" customFormat="1" ht="12" x14ac:dyDescent="0.3">
      <c r="A174" s="435"/>
      <c r="B174" s="27" t="s">
        <v>76</v>
      </c>
      <c r="C174" s="15"/>
    </row>
    <row r="175" spans="1:3" s="13" customFormat="1" ht="12" x14ac:dyDescent="0.3">
      <c r="A175" s="435"/>
      <c r="B175" s="27" t="s">
        <v>77</v>
      </c>
      <c r="C175" s="15"/>
    </row>
    <row r="176" spans="1:3" s="26" customFormat="1" ht="11.4" x14ac:dyDescent="0.3">
      <c r="A176" s="435"/>
      <c r="B176" s="11" t="s">
        <v>74</v>
      </c>
      <c r="C176" s="12"/>
    </row>
    <row r="177" spans="1:3" s="13" customFormat="1" ht="12" x14ac:dyDescent="0.3">
      <c r="A177" s="435"/>
      <c r="B177" s="27" t="s">
        <v>75</v>
      </c>
      <c r="C177" s="15"/>
    </row>
    <row r="178" spans="1:3" s="13" customFormat="1" ht="12" x14ac:dyDescent="0.3">
      <c r="A178" s="435"/>
      <c r="B178" s="27" t="s">
        <v>76</v>
      </c>
      <c r="C178" s="15"/>
    </row>
    <row r="179" spans="1:3" s="13" customFormat="1" ht="12" x14ac:dyDescent="0.3">
      <c r="A179" s="435"/>
      <c r="B179" s="27" t="s">
        <v>77</v>
      </c>
      <c r="C179" s="15"/>
    </row>
    <row r="180" spans="1:3" s="26" customFormat="1" ht="11.4" x14ac:dyDescent="0.3">
      <c r="A180" s="435"/>
      <c r="B180" s="11" t="s">
        <v>71</v>
      </c>
      <c r="C180" s="12"/>
    </row>
    <row r="181" spans="1:3" s="26" customFormat="1" ht="11.4" x14ac:dyDescent="0.3">
      <c r="A181" s="435"/>
      <c r="B181" s="25" t="s">
        <v>39</v>
      </c>
      <c r="C181" s="24"/>
    </row>
    <row r="182" spans="1:3" s="26" customFormat="1" ht="5.25" customHeight="1" x14ac:dyDescent="0.3">
      <c r="A182" s="435"/>
      <c r="B182" s="25"/>
      <c r="C182" s="24"/>
    </row>
    <row r="183" spans="1:3" s="26" customFormat="1" ht="5.25" customHeight="1" x14ac:dyDescent="0.3">
      <c r="A183" s="435"/>
      <c r="B183" s="25"/>
      <c r="C183" s="24"/>
    </row>
    <row r="184" spans="1:3" s="26" customFormat="1" ht="5.25" customHeight="1" x14ac:dyDescent="0.3">
      <c r="A184" s="435"/>
      <c r="B184" s="25"/>
      <c r="C184" s="24"/>
    </row>
    <row r="185" spans="1:3" s="26" customFormat="1" ht="5.25" customHeight="1" x14ac:dyDescent="0.3">
      <c r="A185" s="435"/>
      <c r="B185" s="25"/>
      <c r="C185" s="24"/>
    </row>
    <row r="186" spans="1:3" s="26" customFormat="1" ht="5.25" customHeight="1" x14ac:dyDescent="0.3">
      <c r="A186" s="435"/>
      <c r="B186" s="25"/>
      <c r="C186" s="24"/>
    </row>
    <row r="187" spans="1:3" s="26" customFormat="1" ht="5.25" customHeight="1" x14ac:dyDescent="0.3">
      <c r="A187" s="435"/>
      <c r="B187" s="25"/>
      <c r="C187" s="24"/>
    </row>
    <row r="188" spans="1:3" s="26" customFormat="1" ht="11.4" x14ac:dyDescent="0.3">
      <c r="A188" s="435"/>
      <c r="B188" s="11" t="s">
        <v>22</v>
      </c>
      <c r="C188" s="12"/>
    </row>
    <row r="189" spans="1:3" s="26" customFormat="1" ht="5.25" customHeight="1" x14ac:dyDescent="0.3">
      <c r="A189" s="435"/>
      <c r="B189" s="25"/>
      <c r="C189" s="24"/>
    </row>
    <row r="190" spans="1:3" s="26" customFormat="1" ht="5.25" customHeight="1" x14ac:dyDescent="0.3">
      <c r="A190" s="435"/>
      <c r="B190" s="25"/>
      <c r="C190" s="24"/>
    </row>
    <row r="191" spans="1:3" s="26" customFormat="1" ht="5.25" customHeight="1" x14ac:dyDescent="0.3">
      <c r="A191" s="435"/>
      <c r="B191" s="25"/>
      <c r="C191" s="24"/>
    </row>
    <row r="192" spans="1:3" s="26" customFormat="1" ht="5.25" customHeight="1" x14ac:dyDescent="0.3">
      <c r="A192" s="435"/>
      <c r="B192" s="25"/>
      <c r="C192" s="24"/>
    </row>
    <row r="193" spans="1:3" s="26" customFormat="1" ht="5.25" customHeight="1" x14ac:dyDescent="0.3">
      <c r="A193" s="435"/>
      <c r="B193" s="25"/>
      <c r="C193" s="24"/>
    </row>
    <row r="194" spans="1:3" s="26" customFormat="1" ht="5.25" customHeight="1" x14ac:dyDescent="0.3">
      <c r="A194" s="435"/>
      <c r="B194" s="25"/>
      <c r="C194" s="24"/>
    </row>
    <row r="195" spans="1:3" s="26" customFormat="1" ht="11.4" x14ac:dyDescent="0.3">
      <c r="A195" s="435"/>
      <c r="B195" s="25" t="s">
        <v>72</v>
      </c>
      <c r="C195" s="24"/>
    </row>
    <row r="196" spans="1:3" s="26" customFormat="1" ht="5.25" customHeight="1" x14ac:dyDescent="0.3">
      <c r="A196" s="435"/>
      <c r="B196" s="25"/>
      <c r="C196" s="24"/>
    </row>
    <row r="197" spans="1:3" s="26" customFormat="1" ht="5.25" customHeight="1" x14ac:dyDescent="0.3">
      <c r="A197" s="435"/>
      <c r="B197" s="25"/>
      <c r="C197" s="24"/>
    </row>
    <row r="198" spans="1:3" s="26" customFormat="1" ht="5.25" customHeight="1" x14ac:dyDescent="0.3">
      <c r="A198" s="435"/>
      <c r="B198" s="25"/>
      <c r="C198" s="24"/>
    </row>
    <row r="199" spans="1:3" s="26" customFormat="1" ht="5.25" customHeight="1" x14ac:dyDescent="0.3">
      <c r="A199" s="435"/>
      <c r="B199" s="25"/>
      <c r="C199" s="24"/>
    </row>
    <row r="200" spans="1:3" s="26" customFormat="1" ht="5.25" customHeight="1" x14ac:dyDescent="0.3">
      <c r="A200" s="435"/>
      <c r="B200" s="25"/>
      <c r="C200" s="24"/>
    </row>
    <row r="201" spans="1:3" s="26" customFormat="1" ht="5.25" customHeight="1" x14ac:dyDescent="0.3">
      <c r="A201" s="435"/>
      <c r="B201" s="25"/>
      <c r="C201" s="24"/>
    </row>
    <row r="202" spans="1:3" s="26" customFormat="1" ht="11.4" x14ac:dyDescent="0.3">
      <c r="A202" s="435"/>
      <c r="B202" s="11" t="s">
        <v>53</v>
      </c>
      <c r="C202" s="12"/>
    </row>
    <row r="203" spans="1:3" s="26" customFormat="1" ht="11.4" x14ac:dyDescent="0.3">
      <c r="A203" s="435"/>
      <c r="B203" s="25" t="s">
        <v>73</v>
      </c>
      <c r="C203" s="24"/>
    </row>
    <row r="204" spans="1:3" s="26" customFormat="1" ht="11.4" x14ac:dyDescent="0.3">
      <c r="A204" s="435"/>
      <c r="B204" s="11" t="s">
        <v>38</v>
      </c>
      <c r="C204" s="12"/>
    </row>
    <row r="205" spans="1:3" s="13" customFormat="1" ht="12" x14ac:dyDescent="0.3">
      <c r="A205" s="435"/>
      <c r="B205" s="27" t="s">
        <v>117</v>
      </c>
      <c r="C205" s="15"/>
    </row>
    <row r="206" spans="1:3" s="13" customFormat="1" ht="12" x14ac:dyDescent="0.3">
      <c r="A206" s="435"/>
      <c r="B206" s="27" t="s">
        <v>118</v>
      </c>
      <c r="C206" s="15"/>
    </row>
    <row r="207" spans="1:3" s="13" customFormat="1" ht="12" x14ac:dyDescent="0.3">
      <c r="A207" s="435"/>
      <c r="B207" s="27" t="s">
        <v>85</v>
      </c>
      <c r="C207" s="15"/>
    </row>
    <row r="208" spans="1:3" s="13" customFormat="1" ht="12" x14ac:dyDescent="0.3">
      <c r="A208" s="435"/>
      <c r="B208" s="27" t="s">
        <v>116</v>
      </c>
      <c r="C208" s="15"/>
    </row>
    <row r="209" spans="1:4" s="26" customFormat="1" ht="11.4" x14ac:dyDescent="0.3">
      <c r="A209" s="435"/>
      <c r="B209" s="11" t="s">
        <v>23</v>
      </c>
      <c r="C209" s="12"/>
    </row>
    <row r="210" spans="1:4" s="13" customFormat="1" ht="12" x14ac:dyDescent="0.3">
      <c r="A210" s="435"/>
      <c r="B210" s="27" t="s">
        <v>67</v>
      </c>
      <c r="C210" s="15"/>
    </row>
    <row r="211" spans="1:4" s="13" customFormat="1" ht="12" x14ac:dyDescent="0.3">
      <c r="A211" s="435"/>
      <c r="B211" s="27" t="s">
        <v>119</v>
      </c>
      <c r="C211" s="15"/>
    </row>
    <row r="212" spans="1:4" s="26" customFormat="1" ht="11.4" x14ac:dyDescent="0.3">
      <c r="A212" s="435"/>
      <c r="B212" s="11" t="s">
        <v>24</v>
      </c>
      <c r="C212" s="29"/>
    </row>
    <row r="213" spans="1:4" s="13" customFormat="1" ht="12" x14ac:dyDescent="0.3">
      <c r="A213" s="435"/>
      <c r="B213" s="27" t="s">
        <v>67</v>
      </c>
      <c r="C213" s="15"/>
    </row>
    <row r="214" spans="1:4" s="13" customFormat="1" ht="12" x14ac:dyDescent="0.3">
      <c r="A214" s="435"/>
      <c r="B214" s="27" t="s">
        <v>120</v>
      </c>
      <c r="C214" s="15"/>
    </row>
    <row r="215" spans="1:4" s="13" customFormat="1" ht="18.75" customHeight="1" x14ac:dyDescent="0.3">
      <c r="A215" s="436"/>
      <c r="B215" s="16" t="s">
        <v>86</v>
      </c>
      <c r="C215" s="17"/>
      <c r="D215" s="30"/>
    </row>
    <row r="216" spans="1:4" s="31" customFormat="1" ht="26.25" customHeight="1" x14ac:dyDescent="0.3">
      <c r="A216" s="438" t="s">
        <v>121</v>
      </c>
      <c r="B216" s="439"/>
      <c r="C216" s="34"/>
    </row>
    <row r="217" spans="1:4" s="31" customFormat="1" ht="14.4" x14ac:dyDescent="0.3">
      <c r="A217" s="438" t="s">
        <v>122</v>
      </c>
      <c r="B217" s="439"/>
      <c r="C217" s="34"/>
    </row>
    <row r="218" spans="1:4" s="31" customFormat="1" ht="14.4" x14ac:dyDescent="0.3">
      <c r="A218" s="438" t="s">
        <v>123</v>
      </c>
      <c r="B218" s="439"/>
      <c r="C218" s="34"/>
    </row>
    <row r="219" spans="1:4" s="31" customFormat="1" x14ac:dyDescent="0.3">
      <c r="A219" s="5"/>
      <c r="B219" s="33"/>
      <c r="C219" s="32"/>
    </row>
    <row r="220" spans="1:4" s="31" customFormat="1" x14ac:dyDescent="0.3">
      <c r="A220" s="5"/>
      <c r="C220" s="32"/>
    </row>
    <row r="221" spans="1:4" s="31" customFormat="1" x14ac:dyDescent="0.3">
      <c r="A221" s="5"/>
      <c r="B221" s="33"/>
      <c r="C221" s="32"/>
    </row>
    <row r="222" spans="1:4" s="31" customFormat="1" x14ac:dyDescent="0.3">
      <c r="A222" s="5"/>
      <c r="C222" s="32"/>
    </row>
    <row r="223" spans="1:4" s="31" customFormat="1" x14ac:dyDescent="0.3">
      <c r="A223" s="5"/>
      <c r="B223" s="33"/>
      <c r="C223" s="32"/>
    </row>
    <row r="224" spans="1:4" s="31" customFormat="1" x14ac:dyDescent="0.3">
      <c r="A224" s="5"/>
      <c r="C224" s="32"/>
    </row>
    <row r="225" spans="1:3" s="31" customFormat="1" x14ac:dyDescent="0.3">
      <c r="A225" s="5"/>
      <c r="C225" s="32"/>
    </row>
    <row r="226" spans="1:3" s="31" customFormat="1" x14ac:dyDescent="0.3">
      <c r="A226" s="5"/>
      <c r="C226" s="32"/>
    </row>
    <row r="227" spans="1:3" s="31" customFormat="1" x14ac:dyDescent="0.3">
      <c r="A227" s="5"/>
      <c r="C227" s="32"/>
    </row>
    <row r="228" spans="1:3" s="31" customFormat="1" x14ac:dyDescent="0.3">
      <c r="A228" s="5"/>
      <c r="C228" s="32"/>
    </row>
    <row r="229" spans="1:3" s="31" customFormat="1" x14ac:dyDescent="0.3">
      <c r="A229" s="5"/>
      <c r="C229" s="32"/>
    </row>
    <row r="230" spans="1:3" s="31" customFormat="1" x14ac:dyDescent="0.3">
      <c r="A230" s="5"/>
      <c r="C230" s="32"/>
    </row>
    <row r="231" spans="1:3" s="31" customFormat="1" x14ac:dyDescent="0.3">
      <c r="A231" s="5"/>
      <c r="C231" s="32"/>
    </row>
    <row r="232" spans="1:3" s="31" customFormat="1" x14ac:dyDescent="0.3">
      <c r="A232" s="5"/>
      <c r="C232" s="32"/>
    </row>
    <row r="233" spans="1:3" s="31" customFormat="1" x14ac:dyDescent="0.3">
      <c r="A233" s="5"/>
      <c r="C233" s="32"/>
    </row>
    <row r="234" spans="1:3" s="31" customFormat="1" x14ac:dyDescent="0.3">
      <c r="A234" s="5"/>
      <c r="C234" s="32"/>
    </row>
    <row r="235" spans="1:3" s="31" customFormat="1" x14ac:dyDescent="0.3">
      <c r="A235" s="5"/>
      <c r="C235" s="32"/>
    </row>
    <row r="236" spans="1:3" s="31" customFormat="1" x14ac:dyDescent="0.3">
      <c r="A236" s="5"/>
      <c r="C236" s="32"/>
    </row>
    <row r="237" spans="1:3" s="31" customFormat="1" x14ac:dyDescent="0.3">
      <c r="A237" s="5"/>
      <c r="C237" s="32"/>
    </row>
    <row r="238" spans="1:3" s="31" customFormat="1" x14ac:dyDescent="0.3">
      <c r="A238" s="5"/>
      <c r="C238" s="32"/>
    </row>
    <row r="239" spans="1:3" s="31" customFormat="1" x14ac:dyDescent="0.3">
      <c r="A239" s="5"/>
      <c r="C239" s="32"/>
    </row>
    <row r="240" spans="1:3" s="31" customFormat="1" x14ac:dyDescent="0.3">
      <c r="A240" s="5"/>
      <c r="C240" s="32"/>
    </row>
    <row r="241" spans="1:3" s="31" customFormat="1" x14ac:dyDescent="0.3">
      <c r="A241" s="5"/>
      <c r="C241" s="32"/>
    </row>
    <row r="242" spans="1:3" s="31" customFormat="1" x14ac:dyDescent="0.3">
      <c r="A242" s="5"/>
      <c r="C242" s="32"/>
    </row>
    <row r="243" spans="1:3" s="31" customFormat="1" x14ac:dyDescent="0.3">
      <c r="A243" s="5"/>
      <c r="C243" s="32"/>
    </row>
    <row r="244" spans="1:3" s="31" customFormat="1" x14ac:dyDescent="0.3">
      <c r="A244" s="5"/>
      <c r="C244" s="32"/>
    </row>
    <row r="245" spans="1:3" s="31" customFormat="1" x14ac:dyDescent="0.3">
      <c r="A245" s="5"/>
      <c r="C245" s="32"/>
    </row>
    <row r="246" spans="1:3" s="31" customFormat="1" x14ac:dyDescent="0.3">
      <c r="A246" s="5"/>
      <c r="C246" s="32"/>
    </row>
    <row r="247" spans="1:3" s="31" customFormat="1" x14ac:dyDescent="0.3">
      <c r="A247" s="5"/>
      <c r="C247" s="32"/>
    </row>
    <row r="248" spans="1:3" s="31" customFormat="1" x14ac:dyDescent="0.3">
      <c r="A248" s="5"/>
      <c r="C248" s="32"/>
    </row>
    <row r="249" spans="1:3" s="31" customFormat="1" x14ac:dyDescent="0.3">
      <c r="A249" s="5"/>
      <c r="C249" s="32"/>
    </row>
    <row r="250" spans="1:3" s="31" customFormat="1" x14ac:dyDescent="0.3">
      <c r="A250" s="5"/>
      <c r="C250" s="32"/>
    </row>
    <row r="251" spans="1:3" s="31" customFormat="1" x14ac:dyDescent="0.3">
      <c r="A251" s="5"/>
      <c r="C251" s="32"/>
    </row>
    <row r="252" spans="1:3" s="31" customFormat="1" x14ac:dyDescent="0.3">
      <c r="A252" s="5"/>
      <c r="C252" s="32"/>
    </row>
    <row r="253" spans="1:3" s="31" customFormat="1" x14ac:dyDescent="0.3">
      <c r="A253" s="5"/>
      <c r="C253" s="32"/>
    </row>
    <row r="254" spans="1:3" s="31" customFormat="1" x14ac:dyDescent="0.3">
      <c r="A254" s="5"/>
      <c r="C254" s="32"/>
    </row>
    <row r="255" spans="1:3" s="31" customFormat="1" x14ac:dyDescent="0.3">
      <c r="A255" s="5"/>
      <c r="C255" s="32"/>
    </row>
    <row r="256" spans="1:3" s="31" customFormat="1" x14ac:dyDescent="0.3">
      <c r="A256" s="5"/>
      <c r="C256" s="32"/>
    </row>
    <row r="257" spans="1:3" s="31" customFormat="1" x14ac:dyDescent="0.3">
      <c r="A257" s="5"/>
      <c r="C257" s="32"/>
    </row>
    <row r="258" spans="1:3" s="31" customFormat="1" x14ac:dyDescent="0.3">
      <c r="A258" s="5"/>
      <c r="C258" s="32"/>
    </row>
    <row r="259" spans="1:3" s="31" customFormat="1" x14ac:dyDescent="0.3">
      <c r="A259" s="5"/>
      <c r="C259" s="32"/>
    </row>
    <row r="260" spans="1:3" s="31" customFormat="1" x14ac:dyDescent="0.3">
      <c r="A260" s="5"/>
      <c r="C260" s="32"/>
    </row>
    <row r="261" spans="1:3" s="31" customFormat="1" x14ac:dyDescent="0.3">
      <c r="A261" s="5"/>
      <c r="C261" s="32"/>
    </row>
    <row r="262" spans="1:3" s="31" customFormat="1" x14ac:dyDescent="0.3">
      <c r="A262" s="5"/>
      <c r="C262" s="32"/>
    </row>
    <row r="263" spans="1:3" s="31" customFormat="1" x14ac:dyDescent="0.3">
      <c r="A263" s="5"/>
      <c r="C263" s="32"/>
    </row>
    <row r="264" spans="1:3" s="31" customFormat="1" x14ac:dyDescent="0.3">
      <c r="A264" s="5"/>
      <c r="C264" s="32"/>
    </row>
    <row r="265" spans="1:3" s="31" customFormat="1" x14ac:dyDescent="0.3">
      <c r="A265" s="5"/>
      <c r="C265" s="32"/>
    </row>
    <row r="266" spans="1:3" s="31" customFormat="1" x14ac:dyDescent="0.3">
      <c r="A266" s="5"/>
      <c r="C266" s="32"/>
    </row>
    <row r="267" spans="1:3" s="31" customFormat="1" x14ac:dyDescent="0.3">
      <c r="A267" s="5"/>
      <c r="C267" s="32"/>
    </row>
    <row r="268" spans="1:3" s="31" customFormat="1" x14ac:dyDescent="0.3">
      <c r="A268" s="5"/>
      <c r="C268" s="32"/>
    </row>
    <row r="269" spans="1:3" s="31" customFormat="1" x14ac:dyDescent="0.3">
      <c r="A269" s="5"/>
      <c r="C269" s="32"/>
    </row>
    <row r="270" spans="1:3" s="31" customFormat="1" x14ac:dyDescent="0.3">
      <c r="A270" s="5"/>
      <c r="C270" s="32"/>
    </row>
    <row r="271" spans="1:3" s="31" customFormat="1" x14ac:dyDescent="0.3">
      <c r="A271" s="5"/>
      <c r="C271" s="32"/>
    </row>
    <row r="272" spans="1:3" s="31" customFormat="1" x14ac:dyDescent="0.3">
      <c r="A272" s="5"/>
      <c r="C272" s="32"/>
    </row>
    <row r="273" spans="1:3" s="31" customFormat="1" x14ac:dyDescent="0.3">
      <c r="A273" s="5"/>
      <c r="C273" s="32"/>
    </row>
    <row r="274" spans="1:3" s="31" customFormat="1" x14ac:dyDescent="0.3">
      <c r="A274" s="5"/>
      <c r="C274" s="32"/>
    </row>
    <row r="275" spans="1:3" s="31" customFormat="1" x14ac:dyDescent="0.3">
      <c r="A275" s="5"/>
      <c r="C275" s="32"/>
    </row>
    <row r="276" spans="1:3" x14ac:dyDescent="0.25">
      <c r="C276" s="8"/>
    </row>
    <row r="277" spans="1:3" x14ac:dyDescent="0.25">
      <c r="C277" s="8"/>
    </row>
    <row r="278" spans="1:3" x14ac:dyDescent="0.25">
      <c r="C278" s="8"/>
    </row>
    <row r="279" spans="1:3" x14ac:dyDescent="0.25">
      <c r="C279" s="8"/>
    </row>
    <row r="280" spans="1:3" x14ac:dyDescent="0.25">
      <c r="C280" s="8"/>
    </row>
    <row r="281" spans="1:3" x14ac:dyDescent="0.25">
      <c r="C281" s="8"/>
    </row>
    <row r="282" spans="1:3" x14ac:dyDescent="0.25">
      <c r="C282" s="8"/>
    </row>
    <row r="283" spans="1:3" x14ac:dyDescent="0.25">
      <c r="C283" s="8"/>
    </row>
  </sheetData>
  <mergeCells count="13">
    <mergeCell ref="A168:A215"/>
    <mergeCell ref="A2:C2"/>
    <mergeCell ref="A217:B217"/>
    <mergeCell ref="A218:B218"/>
    <mergeCell ref="A23:A26"/>
    <mergeCell ref="A27:A45"/>
    <mergeCell ref="A46:A101"/>
    <mergeCell ref="B3:C3"/>
    <mergeCell ref="A102:A164"/>
    <mergeCell ref="A216:B216"/>
    <mergeCell ref="A165:A167"/>
    <mergeCell ref="A5:A11"/>
    <mergeCell ref="A13:A22"/>
  </mergeCells>
  <pageMargins left="0.39370078740157483" right="0.39370078740157483" top="0.39370078740157483" bottom="0.39370078740157483" header="0.31496062992125984" footer="0.31496062992125984"/>
  <pageSetup paperSize="9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17"/>
  <sheetViews>
    <sheetView view="pageBreakPreview" zoomScaleSheetLayoutView="100" workbookViewId="0">
      <selection activeCell="A5" sqref="A5:XFD5"/>
    </sheetView>
  </sheetViews>
  <sheetFormatPr defaultColWidth="11.88671875" defaultRowHeight="13.8" x14ac:dyDescent="0.3"/>
  <cols>
    <col min="1" max="1" width="6.6640625" style="87" customWidth="1"/>
    <col min="2" max="2" width="29" style="95" customWidth="1"/>
    <col min="3" max="7" width="14.109375" style="95" customWidth="1"/>
    <col min="8" max="16384" width="11.88671875" style="95"/>
  </cols>
  <sheetData>
    <row r="1" spans="1:7" x14ac:dyDescent="0.3">
      <c r="B1" s="109" t="s">
        <v>95</v>
      </c>
    </row>
    <row r="2" spans="1:7" ht="17.25" customHeight="1" x14ac:dyDescent="0.3">
      <c r="A2" s="319" t="str">
        <f>'ст.211,212,213'!A2:B2</f>
        <v>Средства местного бюджета на 2024-2027 годы</v>
      </c>
      <c r="B2" s="319"/>
    </row>
    <row r="3" spans="1:7" ht="17.25" customHeight="1" x14ac:dyDescent="0.3">
      <c r="A3" s="90"/>
      <c r="B3" s="374"/>
      <c r="C3" s="77"/>
      <c r="D3" s="77"/>
      <c r="E3" s="77"/>
      <c r="F3" s="77"/>
      <c r="G3" s="87" t="s">
        <v>153</v>
      </c>
    </row>
    <row r="4" spans="1:7" s="53" customFormat="1" ht="31.2" customHeight="1" x14ac:dyDescent="0.3">
      <c r="A4" s="175"/>
      <c r="B4" s="6"/>
      <c r="C4" s="412"/>
      <c r="D4" s="456" t="s">
        <v>554</v>
      </c>
      <c r="E4" s="457"/>
      <c r="F4" s="457"/>
      <c r="G4" s="458"/>
    </row>
    <row r="5" spans="1:7" s="433" customFormat="1" ht="25.8" customHeight="1" x14ac:dyDescent="0.25">
      <c r="A5" s="431"/>
      <c r="B5" s="432"/>
      <c r="C5" s="430" t="str">
        <f>СВОД!B4</f>
        <v>2024 (ПФХД на 01.01.2024)</v>
      </c>
      <c r="D5" s="430" t="str">
        <f>СВОД!C4</f>
        <v>2024 ож.факт</v>
      </c>
      <c r="E5" s="430">
        <f>СВОД!D4</f>
        <v>2025</v>
      </c>
      <c r="F5" s="430">
        <f>СВОД!E4</f>
        <v>2026</v>
      </c>
      <c r="G5" s="430">
        <f>СВОД!F4</f>
        <v>2027</v>
      </c>
    </row>
    <row r="6" spans="1:7" s="100" customFormat="1" ht="12" x14ac:dyDescent="0.3">
      <c r="A6" s="466">
        <v>225</v>
      </c>
      <c r="B6" s="11" t="s">
        <v>560</v>
      </c>
      <c r="C6" s="106">
        <f>C7*C8*(1+C9)</f>
        <v>0</v>
      </c>
      <c r="D6" s="106">
        <f>D7*D8*(1+D9)</f>
        <v>0</v>
      </c>
      <c r="E6" s="106">
        <f>E7*E8*(1+E9)</f>
        <v>0</v>
      </c>
      <c r="F6" s="106">
        <f>F7*F8*(1+F9)</f>
        <v>0</v>
      </c>
      <c r="G6" s="106">
        <f>G7*G8*(1+G9)</f>
        <v>0</v>
      </c>
    </row>
    <row r="7" spans="1:7" s="135" customFormat="1" ht="12" x14ac:dyDescent="0.3">
      <c r="A7" s="467"/>
      <c r="B7" s="79" t="s">
        <v>84</v>
      </c>
      <c r="C7" s="68"/>
      <c r="D7" s="68"/>
      <c r="E7" s="68"/>
      <c r="F7" s="68"/>
      <c r="G7" s="68"/>
    </row>
    <row r="8" spans="1:7" s="94" customFormat="1" ht="12" x14ac:dyDescent="0.3">
      <c r="A8" s="467"/>
      <c r="B8" s="54" t="s">
        <v>179</v>
      </c>
      <c r="C8" s="55"/>
      <c r="D8" s="55"/>
      <c r="E8" s="55"/>
      <c r="F8" s="55"/>
      <c r="G8" s="55"/>
    </row>
    <row r="9" spans="1:7" s="94" customFormat="1" ht="12" hidden="1" x14ac:dyDescent="0.3">
      <c r="A9" s="467"/>
      <c r="B9" s="54" t="s">
        <v>145</v>
      </c>
      <c r="C9" s="107"/>
      <c r="D9" s="107"/>
      <c r="E9" s="107"/>
      <c r="F9" s="107"/>
      <c r="G9" s="107"/>
    </row>
    <row r="10" spans="1:7" s="102" customFormat="1" ht="12" x14ac:dyDescent="0.3">
      <c r="A10" s="467"/>
      <c r="B10" s="105" t="s">
        <v>7</v>
      </c>
      <c r="C10" s="106">
        <f>C12*(1+C13)</f>
        <v>0</v>
      </c>
      <c r="D10" s="106">
        <f>D12*(1+D13)</f>
        <v>0</v>
      </c>
      <c r="E10" s="106">
        <f>E12*(1+E13)</f>
        <v>0</v>
      </c>
      <c r="F10" s="106">
        <f>F12*(1+F13)</f>
        <v>0</v>
      </c>
      <c r="G10" s="106">
        <f>G12*(1+G13)</f>
        <v>0</v>
      </c>
    </row>
    <row r="11" spans="1:7" s="135" customFormat="1" ht="12" x14ac:dyDescent="0.3">
      <c r="A11" s="467"/>
      <c r="B11" s="79" t="s">
        <v>70</v>
      </c>
      <c r="C11" s="68"/>
      <c r="D11" s="68"/>
      <c r="E11" s="68"/>
      <c r="F11" s="68"/>
      <c r="G11" s="68"/>
    </row>
    <row r="12" spans="1:7" s="137" customFormat="1" ht="12" x14ac:dyDescent="0.3">
      <c r="A12" s="467"/>
      <c r="B12" s="93" t="s">
        <v>173</v>
      </c>
      <c r="C12" s="55"/>
      <c r="D12" s="55"/>
      <c r="E12" s="55"/>
      <c r="F12" s="55"/>
      <c r="G12" s="55"/>
    </row>
    <row r="13" spans="1:7" s="94" customFormat="1" ht="12" hidden="1" x14ac:dyDescent="0.3">
      <c r="A13" s="467"/>
      <c r="B13" s="54" t="s">
        <v>145</v>
      </c>
      <c r="C13" s="107">
        <v>0.13100000000000001</v>
      </c>
      <c r="D13" s="107">
        <v>0.13100000000000001</v>
      </c>
      <c r="E13" s="107">
        <v>0</v>
      </c>
      <c r="F13" s="107">
        <v>0</v>
      </c>
      <c r="G13" s="107">
        <v>0</v>
      </c>
    </row>
    <row r="14" spans="1:7" s="151" customFormat="1" ht="12" x14ac:dyDescent="0.3">
      <c r="A14" s="467"/>
      <c r="B14" s="11" t="s">
        <v>48</v>
      </c>
      <c r="C14" s="19">
        <f>C16*(1+C17)</f>
        <v>0</v>
      </c>
      <c r="D14" s="19">
        <f>D16*(1+D17)</f>
        <v>0</v>
      </c>
      <c r="E14" s="19">
        <f>E16*(1+E17)</f>
        <v>0</v>
      </c>
      <c r="F14" s="19">
        <f>F16*(1+F17)</f>
        <v>0</v>
      </c>
      <c r="G14" s="19">
        <f>G16*(1+G17)</f>
        <v>0</v>
      </c>
    </row>
    <row r="15" spans="1:7" s="80" customFormat="1" ht="12" x14ac:dyDescent="0.3">
      <c r="A15" s="467"/>
      <c r="B15" s="79" t="s">
        <v>186</v>
      </c>
      <c r="C15" s="68"/>
      <c r="D15" s="68"/>
      <c r="E15" s="68"/>
      <c r="F15" s="68"/>
      <c r="G15" s="68"/>
    </row>
    <row r="16" spans="1:7" s="58" customFormat="1" ht="12" x14ac:dyDescent="0.3">
      <c r="A16" s="467"/>
      <c r="B16" s="54" t="s">
        <v>63</v>
      </c>
      <c r="C16" s="55"/>
      <c r="D16" s="55"/>
      <c r="E16" s="55"/>
      <c r="F16" s="55"/>
      <c r="G16" s="55"/>
    </row>
    <row r="17" spans="1:7" s="102" customFormat="1" ht="12" x14ac:dyDescent="0.3">
      <c r="A17" s="467"/>
      <c r="B17" s="105" t="s">
        <v>561</v>
      </c>
      <c r="C17" s="125">
        <f>C18+C19</f>
        <v>0</v>
      </c>
      <c r="D17" s="125">
        <f>D18+D19</f>
        <v>0</v>
      </c>
      <c r="E17" s="125">
        <f t="shared" ref="E17:G17" si="0">E18+E19</f>
        <v>0</v>
      </c>
      <c r="F17" s="125">
        <f t="shared" si="0"/>
        <v>0</v>
      </c>
      <c r="G17" s="125">
        <f t="shared" si="0"/>
        <v>0</v>
      </c>
    </row>
    <row r="18" spans="1:7" s="135" customFormat="1" ht="12" x14ac:dyDescent="0.3">
      <c r="A18" s="467"/>
      <c r="B18" s="79" t="s">
        <v>562</v>
      </c>
      <c r="C18" s="68"/>
      <c r="D18" s="68"/>
      <c r="E18" s="68"/>
      <c r="F18" s="68"/>
      <c r="G18" s="68"/>
    </row>
    <row r="19" spans="1:7" s="137" customFormat="1" ht="12" x14ac:dyDescent="0.3">
      <c r="A19" s="467"/>
      <c r="B19" s="93" t="s">
        <v>563</v>
      </c>
      <c r="C19" s="55"/>
      <c r="D19" s="55"/>
      <c r="E19" s="55"/>
      <c r="F19" s="55"/>
      <c r="G19" s="55"/>
    </row>
    <row r="20" spans="1:7" s="100" customFormat="1" ht="27.6" customHeight="1" x14ac:dyDescent="0.3">
      <c r="A20" s="467"/>
      <c r="B20" s="11" t="s">
        <v>565</v>
      </c>
      <c r="C20" s="125">
        <f t="shared" ref="C20:D20" si="1">C23*C22+C21</f>
        <v>0</v>
      </c>
      <c r="D20" s="125">
        <f t="shared" si="1"/>
        <v>0</v>
      </c>
      <c r="E20" s="125">
        <f t="shared" ref="E20:F20" si="2">E23*E22+E21</f>
        <v>0</v>
      </c>
      <c r="F20" s="125">
        <f t="shared" si="2"/>
        <v>0</v>
      </c>
      <c r="G20" s="125">
        <f t="shared" ref="G20" si="3">G23*G22+G21</f>
        <v>0</v>
      </c>
    </row>
    <row r="21" spans="1:7" s="92" customFormat="1" ht="12.75" hidden="1" customHeight="1" x14ac:dyDescent="0.3">
      <c r="A21" s="467"/>
      <c r="B21" s="85" t="s">
        <v>177</v>
      </c>
      <c r="C21" s="91"/>
      <c r="D21" s="91"/>
      <c r="E21" s="91"/>
      <c r="F21" s="91"/>
      <c r="G21" s="91"/>
    </row>
    <row r="22" spans="1:7" s="135" customFormat="1" ht="12" x14ac:dyDescent="0.3">
      <c r="A22" s="467"/>
      <c r="B22" s="138" t="s">
        <v>67</v>
      </c>
      <c r="C22" s="68"/>
      <c r="D22" s="68"/>
      <c r="E22" s="68"/>
      <c r="F22" s="68"/>
      <c r="G22" s="68"/>
    </row>
    <row r="23" spans="1:7" s="94" customFormat="1" ht="12" x14ac:dyDescent="0.3">
      <c r="A23" s="467"/>
      <c r="B23" s="93" t="s">
        <v>170</v>
      </c>
      <c r="C23" s="55"/>
      <c r="D23" s="55"/>
      <c r="E23" s="55"/>
      <c r="F23" s="55"/>
      <c r="G23" s="55"/>
    </row>
    <row r="24" spans="1:7" s="94" customFormat="1" ht="12" hidden="1" x14ac:dyDescent="0.3">
      <c r="A24" s="467"/>
      <c r="B24" s="54" t="s">
        <v>145</v>
      </c>
      <c r="C24" s="107"/>
      <c r="D24" s="107"/>
      <c r="E24" s="107"/>
      <c r="F24" s="107"/>
      <c r="G24" s="107"/>
    </row>
    <row r="25" spans="1:7" s="100" customFormat="1" ht="23.25" customHeight="1" x14ac:dyDescent="0.3">
      <c r="A25" s="467"/>
      <c r="B25" s="11" t="s">
        <v>132</v>
      </c>
      <c r="C25" s="106">
        <f t="shared" ref="C25" si="4">C26*C27</f>
        <v>0</v>
      </c>
      <c r="D25" s="106">
        <f t="shared" ref="D25:F25" si="5">D26*D27</f>
        <v>0</v>
      </c>
      <c r="E25" s="106">
        <f t="shared" ref="E25" si="6">E26*E27</f>
        <v>0</v>
      </c>
      <c r="F25" s="106">
        <f t="shared" si="5"/>
        <v>0</v>
      </c>
      <c r="G25" s="106">
        <f t="shared" ref="G25" si="7">G26*G27</f>
        <v>0</v>
      </c>
    </row>
    <row r="26" spans="1:7" s="135" customFormat="1" ht="12" x14ac:dyDescent="0.3">
      <c r="A26" s="467"/>
      <c r="B26" s="79" t="s">
        <v>109</v>
      </c>
      <c r="C26" s="79"/>
      <c r="D26" s="79"/>
      <c r="E26" s="79"/>
      <c r="F26" s="79"/>
      <c r="G26" s="79"/>
    </row>
    <row r="27" spans="1:7" s="94" customFormat="1" ht="12" x14ac:dyDescent="0.3">
      <c r="A27" s="467"/>
      <c r="B27" s="93" t="s">
        <v>170</v>
      </c>
      <c r="C27" s="54"/>
      <c r="D27" s="54"/>
      <c r="E27" s="54"/>
      <c r="F27" s="54"/>
      <c r="G27" s="54"/>
    </row>
    <row r="28" spans="1:7" s="94" customFormat="1" ht="12" hidden="1" x14ac:dyDescent="0.3">
      <c r="A28" s="467"/>
      <c r="B28" s="54" t="s">
        <v>145</v>
      </c>
      <c r="C28" s="107"/>
      <c r="D28" s="107"/>
      <c r="E28" s="107"/>
      <c r="F28" s="107"/>
      <c r="G28" s="107"/>
    </row>
    <row r="29" spans="1:7" s="100" customFormat="1" ht="16.8" customHeight="1" x14ac:dyDescent="0.3">
      <c r="A29" s="467"/>
      <c r="B29" s="11" t="s">
        <v>564</v>
      </c>
      <c r="C29" s="125">
        <f t="shared" ref="C29" si="8">C31*C32+C30</f>
        <v>0</v>
      </c>
      <c r="D29" s="125">
        <f t="shared" ref="D29:G29" si="9">D31*D32+D30</f>
        <v>0</v>
      </c>
      <c r="E29" s="125">
        <f t="shared" si="9"/>
        <v>0</v>
      </c>
      <c r="F29" s="125">
        <f t="shared" si="9"/>
        <v>0</v>
      </c>
      <c r="G29" s="125">
        <f t="shared" si="9"/>
        <v>0</v>
      </c>
    </row>
    <row r="30" spans="1:7" s="92" customFormat="1" ht="18" hidden="1" customHeight="1" x14ac:dyDescent="0.3">
      <c r="A30" s="467"/>
      <c r="B30" s="85" t="s">
        <v>177</v>
      </c>
      <c r="C30" s="91"/>
      <c r="D30" s="91"/>
      <c r="E30" s="91"/>
      <c r="F30" s="91"/>
      <c r="G30" s="91"/>
    </row>
    <row r="31" spans="1:7" s="135" customFormat="1" ht="12" x14ac:dyDescent="0.3">
      <c r="A31" s="467"/>
      <c r="B31" s="79" t="s">
        <v>109</v>
      </c>
      <c r="C31" s="79"/>
      <c r="D31" s="79"/>
      <c r="E31" s="79"/>
      <c r="F31" s="79"/>
      <c r="G31" s="79"/>
    </row>
    <row r="32" spans="1:7" s="94" customFormat="1" ht="12" x14ac:dyDescent="0.3">
      <c r="A32" s="467"/>
      <c r="B32" s="93" t="s">
        <v>170</v>
      </c>
      <c r="C32" s="54"/>
      <c r="D32" s="54"/>
      <c r="E32" s="54"/>
      <c r="F32" s="54"/>
      <c r="G32" s="54"/>
    </row>
    <row r="33" spans="1:7" s="102" customFormat="1" ht="12" x14ac:dyDescent="0.3">
      <c r="A33" s="467"/>
      <c r="B33" s="105" t="s">
        <v>467</v>
      </c>
      <c r="C33" s="106">
        <f>C34*C35</f>
        <v>0</v>
      </c>
      <c r="D33" s="106">
        <f>D34*D35</f>
        <v>0</v>
      </c>
      <c r="E33" s="106">
        <f>E34*E35</f>
        <v>0</v>
      </c>
      <c r="F33" s="106">
        <f>F34*F35</f>
        <v>0</v>
      </c>
      <c r="G33" s="106">
        <f>G34*G35</f>
        <v>0</v>
      </c>
    </row>
    <row r="34" spans="1:7" s="135" customFormat="1" ht="12" x14ac:dyDescent="0.3">
      <c r="A34" s="467"/>
      <c r="B34" s="79" t="s">
        <v>109</v>
      </c>
      <c r="C34" s="68"/>
      <c r="D34" s="68"/>
      <c r="E34" s="68"/>
      <c r="F34" s="68"/>
      <c r="G34" s="68"/>
    </row>
    <row r="35" spans="1:7" s="137" customFormat="1" ht="12" x14ac:dyDescent="0.3">
      <c r="A35" s="467"/>
      <c r="B35" s="93" t="s">
        <v>170</v>
      </c>
      <c r="C35" s="55"/>
      <c r="D35" s="55"/>
      <c r="E35" s="55"/>
      <c r="F35" s="55"/>
      <c r="G35" s="55"/>
    </row>
    <row r="36" spans="1:7" s="94" customFormat="1" ht="12" hidden="1" x14ac:dyDescent="0.3">
      <c r="A36" s="467"/>
      <c r="B36" s="54" t="s">
        <v>145</v>
      </c>
      <c r="C36" s="107"/>
      <c r="D36" s="107"/>
      <c r="E36" s="107"/>
      <c r="F36" s="107"/>
      <c r="G36" s="107"/>
    </row>
    <row r="37" spans="1:7" s="100" customFormat="1" ht="12" x14ac:dyDescent="0.3">
      <c r="A37" s="467"/>
      <c r="B37" s="11" t="s">
        <v>566</v>
      </c>
      <c r="C37" s="106">
        <f>C38*C39</f>
        <v>0</v>
      </c>
      <c r="D37" s="106">
        <f>D38*D39</f>
        <v>0</v>
      </c>
      <c r="E37" s="106">
        <f>E38*E39</f>
        <v>0</v>
      </c>
      <c r="F37" s="106">
        <f>F38*F39</f>
        <v>0</v>
      </c>
      <c r="G37" s="106">
        <f>G38*G39</f>
        <v>0</v>
      </c>
    </row>
    <row r="38" spans="1:7" s="135" customFormat="1" ht="12" x14ac:dyDescent="0.3">
      <c r="A38" s="467"/>
      <c r="B38" s="79" t="s">
        <v>67</v>
      </c>
      <c r="C38" s="79"/>
      <c r="D38" s="79"/>
      <c r="E38" s="79"/>
      <c r="F38" s="79"/>
      <c r="G38" s="79"/>
    </row>
    <row r="39" spans="1:7" s="137" customFormat="1" ht="12" x14ac:dyDescent="0.3">
      <c r="A39" s="467"/>
      <c r="B39" s="93" t="s">
        <v>111</v>
      </c>
      <c r="C39" s="93"/>
      <c r="D39" s="93"/>
      <c r="E39" s="93"/>
      <c r="F39" s="93"/>
      <c r="G39" s="93"/>
    </row>
    <row r="40" spans="1:7" s="94" customFormat="1" ht="12" hidden="1" x14ac:dyDescent="0.3">
      <c r="A40" s="467"/>
      <c r="B40" s="54" t="s">
        <v>145</v>
      </c>
      <c r="C40" s="107"/>
      <c r="D40" s="107"/>
      <c r="E40" s="107"/>
      <c r="F40" s="107"/>
      <c r="G40" s="107"/>
    </row>
    <row r="41" spans="1:7" s="102" customFormat="1" ht="22.8" x14ac:dyDescent="0.3">
      <c r="A41" s="467"/>
      <c r="B41" s="105" t="s">
        <v>548</v>
      </c>
      <c r="C41" s="106">
        <f>C43*C44</f>
        <v>0</v>
      </c>
      <c r="D41" s="106">
        <f>D43*D44</f>
        <v>0</v>
      </c>
      <c r="E41" s="106">
        <f>E43*E44</f>
        <v>0</v>
      </c>
      <c r="F41" s="106">
        <f>F43*F44</f>
        <v>0</v>
      </c>
      <c r="G41" s="106">
        <f>G43*G44</f>
        <v>0</v>
      </c>
    </row>
    <row r="42" spans="1:7" s="329" customFormat="1" ht="12" x14ac:dyDescent="0.3">
      <c r="A42" s="467"/>
      <c r="B42" s="91" t="s">
        <v>534</v>
      </c>
      <c r="C42" s="301"/>
      <c r="D42" s="301"/>
      <c r="E42" s="301"/>
      <c r="F42" s="301"/>
      <c r="G42" s="301"/>
    </row>
    <row r="43" spans="1:7" s="135" customFormat="1" ht="12" x14ac:dyDescent="0.3">
      <c r="A43" s="467"/>
      <c r="B43" s="79" t="s">
        <v>109</v>
      </c>
      <c r="C43" s="68"/>
      <c r="D43" s="68"/>
      <c r="E43" s="68"/>
      <c r="F43" s="68"/>
      <c r="G43" s="68"/>
    </row>
    <row r="44" spans="1:7" s="137" customFormat="1" ht="12" x14ac:dyDescent="0.3">
      <c r="A44" s="467"/>
      <c r="B44" s="93" t="s">
        <v>170</v>
      </c>
      <c r="C44" s="55"/>
      <c r="D44" s="55"/>
      <c r="E44" s="55"/>
      <c r="F44" s="55"/>
      <c r="G44" s="55"/>
    </row>
    <row r="45" spans="1:7" s="102" customFormat="1" ht="12" x14ac:dyDescent="0.3">
      <c r="A45" s="467"/>
      <c r="B45" s="105" t="s">
        <v>523</v>
      </c>
      <c r="C45" s="106">
        <f t="shared" ref="C45:D45" si="10">C47*C48</f>
        <v>0</v>
      </c>
      <c r="D45" s="106">
        <f t="shared" si="10"/>
        <v>0</v>
      </c>
      <c r="E45" s="106">
        <f t="shared" ref="E45:F45" si="11">E47*E48+E46</f>
        <v>0</v>
      </c>
      <c r="F45" s="106">
        <f t="shared" si="11"/>
        <v>0</v>
      </c>
      <c r="G45" s="106">
        <f t="shared" ref="G45" si="12">G47*G48+G46</f>
        <v>0</v>
      </c>
    </row>
    <row r="46" spans="1:7" s="329" customFormat="1" ht="12" x14ac:dyDescent="0.3">
      <c r="A46" s="467"/>
      <c r="B46" s="91" t="s">
        <v>524</v>
      </c>
      <c r="C46" s="301"/>
      <c r="D46" s="301"/>
      <c r="E46" s="301"/>
      <c r="F46" s="301"/>
      <c r="G46" s="301"/>
    </row>
    <row r="47" spans="1:7" s="135" customFormat="1" ht="12" x14ac:dyDescent="0.3">
      <c r="A47" s="467"/>
      <c r="B47" s="79" t="s">
        <v>109</v>
      </c>
      <c r="C47" s="68"/>
      <c r="D47" s="68"/>
      <c r="E47" s="68"/>
      <c r="F47" s="68"/>
      <c r="G47" s="68"/>
    </row>
    <row r="48" spans="1:7" s="137" customFormat="1" ht="12" x14ac:dyDescent="0.3">
      <c r="A48" s="467"/>
      <c r="B48" s="93" t="s">
        <v>170</v>
      </c>
      <c r="C48" s="55"/>
      <c r="D48" s="55"/>
      <c r="E48" s="55"/>
      <c r="F48" s="55"/>
      <c r="G48" s="55"/>
    </row>
    <row r="49" spans="1:7" s="94" customFormat="1" ht="12" hidden="1" x14ac:dyDescent="0.3">
      <c r="A49" s="467"/>
      <c r="B49" s="54" t="s">
        <v>145</v>
      </c>
      <c r="C49" s="107"/>
      <c r="D49" s="107"/>
      <c r="E49" s="107"/>
      <c r="F49" s="107"/>
      <c r="G49" s="107"/>
    </row>
    <row r="50" spans="1:7" s="100" customFormat="1" ht="23.25" customHeight="1" x14ac:dyDescent="0.3">
      <c r="A50" s="467"/>
      <c r="B50" s="11" t="s">
        <v>468</v>
      </c>
      <c r="C50" s="106">
        <f t="shared" ref="C50" si="13">C51*C52</f>
        <v>0</v>
      </c>
      <c r="D50" s="106">
        <f t="shared" ref="D50:F50" si="14">D51*D52</f>
        <v>0</v>
      </c>
      <c r="E50" s="106">
        <f t="shared" ref="E50" si="15">E51*E52</f>
        <v>0</v>
      </c>
      <c r="F50" s="106">
        <f t="shared" si="14"/>
        <v>0</v>
      </c>
      <c r="G50" s="106">
        <f t="shared" ref="G50" si="16">G51*G52</f>
        <v>0</v>
      </c>
    </row>
    <row r="51" spans="1:7" s="135" customFormat="1" ht="12" x14ac:dyDescent="0.3">
      <c r="A51" s="467"/>
      <c r="B51" s="79" t="s">
        <v>109</v>
      </c>
      <c r="C51" s="79"/>
      <c r="D51" s="79"/>
      <c r="E51" s="79"/>
      <c r="F51" s="79"/>
      <c r="G51" s="79"/>
    </row>
    <row r="52" spans="1:7" s="94" customFormat="1" ht="12" x14ac:dyDescent="0.3">
      <c r="A52" s="467"/>
      <c r="B52" s="93" t="s">
        <v>170</v>
      </c>
      <c r="C52" s="54"/>
      <c r="D52" s="54"/>
      <c r="E52" s="54"/>
      <c r="F52" s="54"/>
      <c r="G52" s="54"/>
    </row>
    <row r="53" spans="1:7" s="94" customFormat="1" ht="12" hidden="1" x14ac:dyDescent="0.3">
      <c r="A53" s="467"/>
      <c r="B53" s="54" t="s">
        <v>145</v>
      </c>
      <c r="C53" s="107"/>
      <c r="D53" s="107"/>
      <c r="E53" s="107"/>
      <c r="F53" s="107"/>
      <c r="G53" s="107"/>
    </row>
    <row r="54" spans="1:7" s="100" customFormat="1" ht="12" x14ac:dyDescent="0.3">
      <c r="A54" s="467"/>
      <c r="B54" s="11" t="s">
        <v>102</v>
      </c>
      <c r="C54" s="158">
        <f t="shared" ref="C54" si="17">C55*C56*C57*(1+C61)+C58*C59*C60*(1+C61)</f>
        <v>0</v>
      </c>
      <c r="D54" s="158">
        <f t="shared" ref="D54:G54" si="18">D55*D56*D57*(1+D61)+D58*D59*D60*(1+D61)</f>
        <v>0</v>
      </c>
      <c r="E54" s="158">
        <f t="shared" si="18"/>
        <v>0</v>
      </c>
      <c r="F54" s="158">
        <f t="shared" si="18"/>
        <v>0</v>
      </c>
      <c r="G54" s="158">
        <f t="shared" si="18"/>
        <v>0</v>
      </c>
    </row>
    <row r="55" spans="1:7" s="135" customFormat="1" ht="12" x14ac:dyDescent="0.3">
      <c r="A55" s="467"/>
      <c r="B55" s="79" t="s">
        <v>67</v>
      </c>
      <c r="C55" s="68"/>
      <c r="D55" s="68"/>
      <c r="E55" s="68"/>
      <c r="F55" s="68"/>
      <c r="G55" s="68"/>
    </row>
    <row r="56" spans="1:7" s="94" customFormat="1" ht="12" x14ac:dyDescent="0.3">
      <c r="A56" s="467"/>
      <c r="B56" s="54" t="s">
        <v>69</v>
      </c>
      <c r="C56" s="55"/>
      <c r="D56" s="55"/>
      <c r="E56" s="55"/>
      <c r="F56" s="55"/>
      <c r="G56" s="55"/>
    </row>
    <row r="57" spans="1:7" s="94" customFormat="1" ht="12" x14ac:dyDescent="0.3">
      <c r="A57" s="467"/>
      <c r="B57" s="93" t="s">
        <v>170</v>
      </c>
      <c r="C57" s="55"/>
      <c r="D57" s="55"/>
      <c r="E57" s="55"/>
      <c r="F57" s="55"/>
      <c r="G57" s="55"/>
    </row>
    <row r="58" spans="1:7" s="135" customFormat="1" ht="12" x14ac:dyDescent="0.3">
      <c r="A58" s="467"/>
      <c r="B58" s="79" t="s">
        <v>67</v>
      </c>
      <c r="C58" s="68"/>
      <c r="D58" s="68"/>
      <c r="E58" s="68"/>
      <c r="F58" s="68"/>
      <c r="G58" s="68"/>
    </row>
    <row r="59" spans="1:7" s="94" customFormat="1" ht="12" x14ac:dyDescent="0.3">
      <c r="A59" s="467"/>
      <c r="B59" s="54" t="s">
        <v>69</v>
      </c>
      <c r="C59" s="55"/>
      <c r="D59" s="55"/>
      <c r="E59" s="55"/>
      <c r="F59" s="55"/>
      <c r="G59" s="55"/>
    </row>
    <row r="60" spans="1:7" s="94" customFormat="1" ht="13.8" customHeight="1" x14ac:dyDescent="0.3">
      <c r="A60" s="467"/>
      <c r="B60" s="93" t="s">
        <v>170</v>
      </c>
      <c r="C60" s="55"/>
      <c r="D60" s="55"/>
      <c r="E60" s="55"/>
      <c r="F60" s="55"/>
      <c r="G60" s="55"/>
    </row>
    <row r="61" spans="1:7" s="94" customFormat="1" ht="12" hidden="1" x14ac:dyDescent="0.3">
      <c r="A61" s="467"/>
      <c r="B61" s="54" t="s">
        <v>145</v>
      </c>
      <c r="C61" s="128">
        <v>0.26700000000000002</v>
      </c>
      <c r="D61" s="128">
        <v>0.26700000000000002</v>
      </c>
      <c r="E61" s="128">
        <v>0.26700000000000002</v>
      </c>
      <c r="F61" s="128"/>
      <c r="G61" s="128"/>
    </row>
    <row r="62" spans="1:7" s="100" customFormat="1" ht="12" x14ac:dyDescent="0.3">
      <c r="A62" s="467"/>
      <c r="B62" s="11" t="s">
        <v>31</v>
      </c>
      <c r="C62" s="158">
        <f>C63*C64*(1+C65)</f>
        <v>0</v>
      </c>
      <c r="D62" s="158">
        <f>D63*D64*(1+D65)</f>
        <v>0</v>
      </c>
      <c r="E62" s="158">
        <f>E63*E64*(1+E65)</f>
        <v>0</v>
      </c>
      <c r="F62" s="158">
        <f>F63*F64*(1+F65)</f>
        <v>0</v>
      </c>
      <c r="G62" s="158">
        <f>G63*G64*(1+G65)</f>
        <v>0</v>
      </c>
    </row>
    <row r="63" spans="1:7" s="135" customFormat="1" ht="12" x14ac:dyDescent="0.3">
      <c r="A63" s="467"/>
      <c r="B63" s="79" t="s">
        <v>109</v>
      </c>
      <c r="C63" s="68"/>
      <c r="D63" s="68"/>
      <c r="E63" s="68"/>
      <c r="F63" s="68"/>
      <c r="G63" s="68"/>
    </row>
    <row r="64" spans="1:7" s="94" customFormat="1" ht="12" x14ac:dyDescent="0.3">
      <c r="A64" s="467"/>
      <c r="B64" s="93" t="s">
        <v>170</v>
      </c>
      <c r="C64" s="55"/>
      <c r="D64" s="55"/>
      <c r="E64" s="55"/>
      <c r="F64" s="55"/>
      <c r="G64" s="55"/>
    </row>
    <row r="65" spans="1:7" s="94" customFormat="1" ht="12" hidden="1" x14ac:dyDescent="0.3">
      <c r="A65" s="467"/>
      <c r="B65" s="54" t="s">
        <v>145</v>
      </c>
      <c r="C65" s="107"/>
      <c r="D65" s="107"/>
      <c r="E65" s="107"/>
      <c r="F65" s="107"/>
      <c r="G65" s="107"/>
    </row>
    <row r="66" spans="1:7" s="100" customFormat="1" ht="12" x14ac:dyDescent="0.3">
      <c r="A66" s="467"/>
      <c r="B66" s="11" t="s">
        <v>470</v>
      </c>
      <c r="C66" s="158">
        <f>C67*C68*(1+C69)</f>
        <v>0</v>
      </c>
      <c r="D66" s="158">
        <f>D67*D68*(1+D69)</f>
        <v>0</v>
      </c>
      <c r="E66" s="158">
        <f>E67*E68*(1+E69)</f>
        <v>0</v>
      </c>
      <c r="F66" s="158">
        <f>F67*F68*(1+F69)</f>
        <v>0</v>
      </c>
      <c r="G66" s="158">
        <f>G67*G68*(1+G69)</f>
        <v>0</v>
      </c>
    </row>
    <row r="67" spans="1:7" s="135" customFormat="1" ht="12" x14ac:dyDescent="0.3">
      <c r="A67" s="467"/>
      <c r="B67" s="79" t="s">
        <v>109</v>
      </c>
      <c r="C67" s="68"/>
      <c r="D67" s="68"/>
      <c r="E67" s="68"/>
      <c r="F67" s="68"/>
      <c r="G67" s="68"/>
    </row>
    <row r="68" spans="1:7" s="94" customFormat="1" ht="12" x14ac:dyDescent="0.3">
      <c r="A68" s="467"/>
      <c r="B68" s="93" t="s">
        <v>170</v>
      </c>
      <c r="C68" s="55"/>
      <c r="D68" s="55"/>
      <c r="E68" s="55"/>
      <c r="F68" s="55"/>
      <c r="G68" s="55"/>
    </row>
    <row r="69" spans="1:7" s="94" customFormat="1" ht="12" hidden="1" x14ac:dyDescent="0.3">
      <c r="A69" s="467"/>
      <c r="B69" s="54" t="s">
        <v>145</v>
      </c>
      <c r="C69" s="107"/>
      <c r="D69" s="107"/>
      <c r="E69" s="107"/>
      <c r="F69" s="107"/>
      <c r="G69" s="107"/>
    </row>
    <row r="70" spans="1:7" s="100" customFormat="1" ht="12" x14ac:dyDescent="0.3">
      <c r="A70" s="467"/>
      <c r="B70" s="11" t="s">
        <v>49</v>
      </c>
      <c r="C70" s="106">
        <f>C71*C72*C73*(1+C74)</f>
        <v>0</v>
      </c>
      <c r="D70" s="106">
        <f>D71*D72*D73*(1+D74)</f>
        <v>0</v>
      </c>
      <c r="E70" s="106">
        <f>E71*E72*E73*(1+E74)</f>
        <v>0</v>
      </c>
      <c r="F70" s="106">
        <f>F71*F72*F73*(1+F74)</f>
        <v>0</v>
      </c>
      <c r="G70" s="106">
        <f>G71*G72*G73*(1+G74)</f>
        <v>0</v>
      </c>
    </row>
    <row r="71" spans="1:7" s="135" customFormat="1" ht="12" x14ac:dyDescent="0.3">
      <c r="A71" s="467"/>
      <c r="B71" s="138" t="s">
        <v>67</v>
      </c>
      <c r="C71" s="79"/>
      <c r="D71" s="79"/>
      <c r="E71" s="79"/>
      <c r="F71" s="79"/>
      <c r="G71" s="79"/>
    </row>
    <row r="72" spans="1:7" s="94" customFormat="1" ht="12" x14ac:dyDescent="0.3">
      <c r="A72" s="467"/>
      <c r="B72" s="85" t="s">
        <v>175</v>
      </c>
      <c r="C72" s="54"/>
      <c r="D72" s="54"/>
      <c r="E72" s="54"/>
      <c r="F72" s="54"/>
      <c r="G72" s="54"/>
    </row>
    <row r="73" spans="1:7" s="94" customFormat="1" ht="12" x14ac:dyDescent="0.3">
      <c r="A73" s="467"/>
      <c r="B73" s="93" t="s">
        <v>170</v>
      </c>
      <c r="C73" s="54"/>
      <c r="D73" s="54"/>
      <c r="E73" s="54"/>
      <c r="F73" s="54"/>
      <c r="G73" s="54"/>
    </row>
    <row r="74" spans="1:7" s="94" customFormat="1" ht="12" hidden="1" x14ac:dyDescent="0.3">
      <c r="A74" s="467"/>
      <c r="B74" s="54" t="s">
        <v>145</v>
      </c>
      <c r="C74" s="107"/>
      <c r="D74" s="107"/>
      <c r="E74" s="107"/>
      <c r="F74" s="107"/>
      <c r="G74" s="107"/>
    </row>
    <row r="75" spans="1:7" s="100" customFormat="1" ht="12" x14ac:dyDescent="0.3">
      <c r="A75" s="467"/>
      <c r="B75" s="11" t="s">
        <v>544</v>
      </c>
      <c r="C75" s="106">
        <f>C76</f>
        <v>0</v>
      </c>
      <c r="D75" s="106">
        <f>D76</f>
        <v>0</v>
      </c>
      <c r="E75" s="106">
        <f t="shared" ref="E75:G75" si="19">E76</f>
        <v>0</v>
      </c>
      <c r="F75" s="106">
        <f t="shared" si="19"/>
        <v>0</v>
      </c>
      <c r="G75" s="106">
        <f t="shared" si="19"/>
        <v>0</v>
      </c>
    </row>
    <row r="76" spans="1:7" s="58" customFormat="1" ht="12" x14ac:dyDescent="0.3">
      <c r="A76" s="467"/>
      <c r="B76" s="54" t="s">
        <v>483</v>
      </c>
      <c r="C76" s="55"/>
      <c r="D76" s="55"/>
      <c r="E76" s="55"/>
      <c r="F76" s="55"/>
      <c r="G76" s="55"/>
    </row>
    <row r="77" spans="1:7" s="100" customFormat="1" ht="21" customHeight="1" x14ac:dyDescent="0.3">
      <c r="A77" s="467"/>
      <c r="B77" s="11" t="s">
        <v>567</v>
      </c>
      <c r="C77" s="106">
        <f>C78</f>
        <v>0</v>
      </c>
      <c r="D77" s="106">
        <f>D78</f>
        <v>0</v>
      </c>
      <c r="E77" s="106">
        <f t="shared" ref="E77:G77" si="20">E78</f>
        <v>0</v>
      </c>
      <c r="F77" s="106">
        <f t="shared" si="20"/>
        <v>0</v>
      </c>
      <c r="G77" s="106">
        <f t="shared" si="20"/>
        <v>0</v>
      </c>
    </row>
    <row r="78" spans="1:7" s="58" customFormat="1" ht="12" x14ac:dyDescent="0.3">
      <c r="A78" s="467"/>
      <c r="B78" s="54" t="s">
        <v>483</v>
      </c>
      <c r="C78" s="55"/>
      <c r="D78" s="55"/>
      <c r="E78" s="55"/>
      <c r="F78" s="55"/>
      <c r="G78" s="55"/>
    </row>
    <row r="79" spans="1:7" s="100" customFormat="1" ht="12" x14ac:dyDescent="0.3">
      <c r="A79" s="467"/>
      <c r="B79" s="11" t="s">
        <v>51</v>
      </c>
      <c r="C79" s="106">
        <f>C80*C81</f>
        <v>0</v>
      </c>
      <c r="D79" s="106">
        <f>D80*D81</f>
        <v>0</v>
      </c>
      <c r="E79" s="106">
        <f>E80*E81</f>
        <v>0</v>
      </c>
      <c r="F79" s="106">
        <f>F80*F81</f>
        <v>0</v>
      </c>
      <c r="G79" s="106">
        <f>G80*G81</f>
        <v>0</v>
      </c>
    </row>
    <row r="80" spans="1:7" s="135" customFormat="1" ht="12" x14ac:dyDescent="0.3">
      <c r="A80" s="467"/>
      <c r="B80" s="79" t="s">
        <v>104</v>
      </c>
      <c r="C80" s="79"/>
      <c r="D80" s="79"/>
      <c r="E80" s="79"/>
      <c r="F80" s="79"/>
      <c r="G80" s="79"/>
    </row>
    <row r="81" spans="1:7" s="94" customFormat="1" ht="12" x14ac:dyDescent="0.3">
      <c r="A81" s="467"/>
      <c r="B81" s="54" t="s">
        <v>174</v>
      </c>
      <c r="C81" s="93"/>
      <c r="D81" s="93"/>
      <c r="E81" s="93"/>
      <c r="F81" s="93"/>
      <c r="G81" s="93"/>
    </row>
    <row r="82" spans="1:7" s="94" customFormat="1" ht="12" hidden="1" x14ac:dyDescent="0.3">
      <c r="A82" s="467"/>
      <c r="B82" s="54" t="s">
        <v>145</v>
      </c>
      <c r="C82" s="107"/>
      <c r="D82" s="107"/>
      <c r="E82" s="107"/>
      <c r="F82" s="107"/>
      <c r="G82" s="107"/>
    </row>
    <row r="83" spans="1:7" s="100" customFormat="1" ht="12" x14ac:dyDescent="0.3">
      <c r="A83" s="467"/>
      <c r="B83" s="11" t="s">
        <v>572</v>
      </c>
      <c r="C83" s="106">
        <f t="shared" ref="C83" si="21">C84*C85</f>
        <v>0</v>
      </c>
      <c r="D83" s="106">
        <f t="shared" ref="D83:G83" si="22">D84*D85</f>
        <v>0</v>
      </c>
      <c r="E83" s="106">
        <f t="shared" si="22"/>
        <v>0</v>
      </c>
      <c r="F83" s="106">
        <f t="shared" si="22"/>
        <v>0</v>
      </c>
      <c r="G83" s="106">
        <f t="shared" si="22"/>
        <v>0</v>
      </c>
    </row>
    <row r="84" spans="1:7" s="135" customFormat="1" ht="12" x14ac:dyDescent="0.3">
      <c r="A84" s="467"/>
      <c r="B84" s="79" t="s">
        <v>109</v>
      </c>
      <c r="C84" s="79"/>
      <c r="D84" s="79"/>
      <c r="E84" s="79"/>
      <c r="F84" s="79"/>
      <c r="G84" s="79"/>
    </row>
    <row r="85" spans="1:7" s="94" customFormat="1" ht="12" x14ac:dyDescent="0.3">
      <c r="A85" s="467"/>
      <c r="B85" s="93" t="s">
        <v>170</v>
      </c>
      <c r="C85" s="54"/>
      <c r="D85" s="54"/>
      <c r="E85" s="54"/>
      <c r="F85" s="54"/>
      <c r="G85" s="54"/>
    </row>
    <row r="86" spans="1:7" s="100" customFormat="1" ht="34.200000000000003" x14ac:dyDescent="0.3">
      <c r="A86" s="467"/>
      <c r="B86" s="11" t="s">
        <v>568</v>
      </c>
      <c r="C86" s="106">
        <f>C87*C88+C89</f>
        <v>0</v>
      </c>
      <c r="D86" s="106">
        <f>D87*D88+D89</f>
        <v>0</v>
      </c>
      <c r="E86" s="106">
        <f t="shared" ref="E86:G86" si="23">E87*E88+E89</f>
        <v>0</v>
      </c>
      <c r="F86" s="106">
        <f t="shared" si="23"/>
        <v>0</v>
      </c>
      <c r="G86" s="106">
        <f t="shared" si="23"/>
        <v>0</v>
      </c>
    </row>
    <row r="87" spans="1:7" s="135" customFormat="1" ht="12" x14ac:dyDescent="0.3">
      <c r="A87" s="467"/>
      <c r="B87" s="79" t="s">
        <v>67</v>
      </c>
      <c r="C87" s="79"/>
      <c r="D87" s="79"/>
      <c r="E87" s="79"/>
      <c r="F87" s="79"/>
      <c r="G87" s="79"/>
    </row>
    <row r="88" spans="1:7" s="94" customFormat="1" ht="12" x14ac:dyDescent="0.3">
      <c r="A88" s="467"/>
      <c r="B88" s="93" t="s">
        <v>171</v>
      </c>
      <c r="C88" s="54"/>
      <c r="D88" s="54"/>
      <c r="E88" s="54"/>
      <c r="F88" s="54"/>
      <c r="G88" s="54"/>
    </row>
    <row r="89" spans="1:7" s="94" customFormat="1" ht="12" x14ac:dyDescent="0.3">
      <c r="A89" s="467"/>
      <c r="B89" s="93" t="s">
        <v>569</v>
      </c>
      <c r="C89" s="54"/>
      <c r="D89" s="54"/>
      <c r="E89" s="54"/>
      <c r="F89" s="54"/>
      <c r="G89" s="54"/>
    </row>
    <row r="90" spans="1:7" s="153" customFormat="1" ht="42" x14ac:dyDescent="0.3">
      <c r="A90" s="467"/>
      <c r="B90" s="11" t="s">
        <v>570</v>
      </c>
      <c r="C90" s="19">
        <f>C91*C92</f>
        <v>0</v>
      </c>
      <c r="D90" s="19">
        <f>D91*D92</f>
        <v>0</v>
      </c>
      <c r="E90" s="19">
        <f t="shared" ref="E90:G90" si="24">E91*E92</f>
        <v>0</v>
      </c>
      <c r="F90" s="19">
        <f t="shared" si="24"/>
        <v>0</v>
      </c>
      <c r="G90" s="19">
        <f t="shared" si="24"/>
        <v>0</v>
      </c>
    </row>
    <row r="91" spans="1:7" s="80" customFormat="1" ht="12" x14ac:dyDescent="0.3">
      <c r="A91" s="467"/>
      <c r="B91" s="79" t="s">
        <v>66</v>
      </c>
      <c r="C91" s="68"/>
      <c r="D91" s="68"/>
      <c r="E91" s="68"/>
      <c r="F91" s="68"/>
      <c r="G91" s="68"/>
    </row>
    <row r="92" spans="1:7" s="58" customFormat="1" ht="12" x14ac:dyDescent="0.3">
      <c r="A92" s="467"/>
      <c r="B92" s="54" t="s">
        <v>63</v>
      </c>
      <c r="C92" s="55"/>
      <c r="D92" s="55"/>
      <c r="E92" s="55"/>
      <c r="F92" s="55"/>
      <c r="G92" s="55"/>
    </row>
    <row r="93" spans="1:7" s="94" customFormat="1" ht="12" hidden="1" x14ac:dyDescent="0.3">
      <c r="A93" s="467"/>
      <c r="B93" s="54" t="s">
        <v>145</v>
      </c>
      <c r="C93" s="107"/>
      <c r="D93" s="107"/>
      <c r="E93" s="107"/>
      <c r="F93" s="107"/>
      <c r="G93" s="107"/>
    </row>
    <row r="94" spans="1:7" s="122" customFormat="1" ht="12" x14ac:dyDescent="0.3">
      <c r="A94" s="467"/>
      <c r="B94" s="392" t="s">
        <v>571</v>
      </c>
      <c r="C94" s="110"/>
      <c r="D94" s="110"/>
      <c r="E94" s="110"/>
      <c r="F94" s="110"/>
      <c r="G94" s="110"/>
    </row>
    <row r="95" spans="1:7" s="94" customFormat="1" ht="12" hidden="1" x14ac:dyDescent="0.3">
      <c r="A95" s="467"/>
      <c r="B95" s="54" t="s">
        <v>145</v>
      </c>
      <c r="C95" s="107"/>
      <c r="D95" s="107"/>
      <c r="E95" s="107"/>
      <c r="F95" s="107"/>
      <c r="G95" s="107"/>
    </row>
    <row r="96" spans="1:7" s="122" customFormat="1" ht="24" x14ac:dyDescent="0.3">
      <c r="A96" s="467"/>
      <c r="B96" s="392" t="s">
        <v>543</v>
      </c>
      <c r="C96" s="110"/>
      <c r="D96" s="110"/>
      <c r="E96" s="110"/>
      <c r="F96" s="110"/>
      <c r="G96" s="110"/>
    </row>
    <row r="97" spans="1:7" s="113" customFormat="1" ht="24" x14ac:dyDescent="0.3">
      <c r="A97" s="467"/>
      <c r="B97" s="393" t="s">
        <v>133</v>
      </c>
      <c r="C97" s="110"/>
      <c r="D97" s="110"/>
      <c r="E97" s="110"/>
      <c r="F97" s="110"/>
      <c r="G97" s="110"/>
    </row>
    <row r="98" spans="1:7" s="122" customFormat="1" ht="12" x14ac:dyDescent="0.3">
      <c r="A98" s="467"/>
      <c r="B98" s="392" t="s">
        <v>573</v>
      </c>
      <c r="C98" s="110"/>
      <c r="D98" s="110"/>
      <c r="E98" s="110"/>
      <c r="F98" s="110"/>
      <c r="G98" s="110"/>
    </row>
    <row r="99" spans="1:7" s="120" customFormat="1" ht="12" x14ac:dyDescent="0.3">
      <c r="A99" s="467"/>
      <c r="B99" s="394" t="s">
        <v>574</v>
      </c>
      <c r="C99" s="118"/>
      <c r="D99" s="118"/>
      <c r="E99" s="118"/>
      <c r="F99" s="110"/>
      <c r="G99" s="110"/>
    </row>
    <row r="100" spans="1:7" s="120" customFormat="1" ht="12" x14ac:dyDescent="0.3">
      <c r="A100" s="467"/>
      <c r="B100" s="394" t="s">
        <v>575</v>
      </c>
      <c r="C100" s="110"/>
      <c r="D100" s="110"/>
      <c r="E100" s="110"/>
      <c r="F100" s="110"/>
      <c r="G100" s="110"/>
    </row>
    <row r="101" spans="1:7" s="122" customFormat="1" ht="12" x14ac:dyDescent="0.3">
      <c r="A101" s="467"/>
      <c r="B101" s="124"/>
      <c r="C101" s="110"/>
      <c r="D101" s="110"/>
      <c r="E101" s="110"/>
      <c r="F101" s="110"/>
      <c r="G101" s="110"/>
    </row>
    <row r="102" spans="1:7" s="122" customFormat="1" ht="11.4" customHeight="1" x14ac:dyDescent="0.3">
      <c r="A102" s="467"/>
      <c r="B102" s="124"/>
      <c r="C102" s="110"/>
      <c r="D102" s="110"/>
      <c r="E102" s="110"/>
      <c r="F102" s="110"/>
      <c r="G102" s="110"/>
    </row>
    <row r="103" spans="1:7" s="122" customFormat="1" ht="12" x14ac:dyDescent="0.3">
      <c r="A103" s="467"/>
      <c r="B103" s="124"/>
      <c r="C103" s="110"/>
      <c r="D103" s="110"/>
      <c r="E103" s="110"/>
      <c r="F103" s="110"/>
      <c r="G103" s="110"/>
    </row>
    <row r="104" spans="1:7" s="122" customFormat="1" ht="12" x14ac:dyDescent="0.3">
      <c r="A104" s="467"/>
      <c r="B104" s="124"/>
      <c r="C104" s="110"/>
      <c r="D104" s="110"/>
      <c r="E104" s="110"/>
      <c r="F104" s="110"/>
      <c r="G104" s="110"/>
    </row>
    <row r="105" spans="1:7" s="122" customFormat="1" ht="11.4" customHeight="1" x14ac:dyDescent="0.3">
      <c r="A105" s="467"/>
      <c r="B105" s="124"/>
      <c r="C105" s="110"/>
      <c r="D105" s="110"/>
      <c r="E105" s="110"/>
      <c r="F105" s="110"/>
      <c r="G105" s="110"/>
    </row>
    <row r="106" spans="1:7" s="122" customFormat="1" ht="12" x14ac:dyDescent="0.3">
      <c r="A106" s="467"/>
      <c r="B106" s="124"/>
      <c r="C106" s="110"/>
      <c r="D106" s="110"/>
      <c r="E106" s="110"/>
      <c r="F106" s="110"/>
      <c r="G106" s="110"/>
    </row>
    <row r="107" spans="1:7" s="122" customFormat="1" ht="12" x14ac:dyDescent="0.3">
      <c r="A107" s="467"/>
      <c r="B107" s="124"/>
      <c r="C107" s="110"/>
      <c r="D107" s="110"/>
      <c r="E107" s="110"/>
      <c r="F107" s="110"/>
      <c r="G107" s="110"/>
    </row>
    <row r="108" spans="1:7" s="122" customFormat="1" ht="12" x14ac:dyDescent="0.3">
      <c r="A108" s="467"/>
      <c r="B108" s="124"/>
      <c r="C108" s="110"/>
      <c r="D108" s="110"/>
      <c r="E108" s="110"/>
      <c r="F108" s="110"/>
      <c r="G108" s="110"/>
    </row>
    <row r="109" spans="1:7" s="148" customFormat="1" ht="20.399999999999999" customHeight="1" x14ac:dyDescent="0.3">
      <c r="A109" s="468"/>
      <c r="B109" s="16" t="s">
        <v>89</v>
      </c>
      <c r="C109" s="147">
        <f>C6+C10+C14+C17+C20+C25+C29+C33+C37+C41+C45+C50+C54+C62+C66+C70+C75+C77+C79+C83+C86+C90+C94+C96+C97+C98+C99+C100+C101+C102+C103+C104+C105+C106+C107+C108</f>
        <v>0</v>
      </c>
      <c r="D109" s="147">
        <f>D6+D10+D14+D17+D20+D25+D29+D33+D37+D41+D45+D50+D54+D62+D66+D70+D75+D77+D79+D83+D86+D90+D94+D96+D97+D98+D99+D100+D101+D102+D103+D104+D105+D106+D107+D108</f>
        <v>0</v>
      </c>
      <c r="E109" s="147">
        <f t="shared" ref="E109:G109" si="25">E6+E10+E14+E17+E20+E25+E29+E33+E37+E41+E45+E50+E54+E62+E66+E70+E75+E77+E79+E83+E86+E90+E94+E96+E97+E98+E99+E100+E101+E102+E103+E104+E105+E106+E107+E108</f>
        <v>0</v>
      </c>
      <c r="F109" s="147">
        <f t="shared" si="25"/>
        <v>0</v>
      </c>
      <c r="G109" s="147">
        <f t="shared" si="25"/>
        <v>0</v>
      </c>
    </row>
    <row r="110" spans="1:7" x14ac:dyDescent="0.3">
      <c r="B110" s="109"/>
    </row>
    <row r="111" spans="1:7" s="98" customFormat="1" ht="27.6" x14ac:dyDescent="0.3">
      <c r="A111" s="97"/>
      <c r="B111" s="97" t="s">
        <v>154</v>
      </c>
      <c r="C111" s="103">
        <f>C109/1000</f>
        <v>0</v>
      </c>
      <c r="D111" s="103">
        <f>D109/1000</f>
        <v>0</v>
      </c>
      <c r="E111" s="103">
        <f>E109/1000</f>
        <v>0</v>
      </c>
      <c r="F111" s="103">
        <f>F109/1000</f>
        <v>0</v>
      </c>
      <c r="G111" s="103">
        <f>G109/1000</f>
        <v>0</v>
      </c>
    </row>
    <row r="112" spans="1:7" s="98" customFormat="1" x14ac:dyDescent="0.3">
      <c r="A112" s="270"/>
      <c r="B112" s="270"/>
      <c r="C112" s="272"/>
      <c r="D112" s="272"/>
      <c r="E112" s="272"/>
      <c r="F112" s="272"/>
      <c r="G112" s="272"/>
    </row>
    <row r="113" spans="1:37" s="52" customFormat="1" ht="12" x14ac:dyDescent="0.3">
      <c r="A113" s="53"/>
      <c r="C113" s="161"/>
      <c r="D113" s="161"/>
      <c r="E113" s="161"/>
      <c r="F113" s="161"/>
      <c r="G113" s="161"/>
    </row>
    <row r="114" spans="1:37" s="279" customFormat="1" ht="9.6" x14ac:dyDescent="0.3">
      <c r="A114" s="77"/>
      <c r="B114" s="276"/>
      <c r="C114" s="77"/>
      <c r="D114" s="77"/>
      <c r="E114" s="77"/>
      <c r="F114" s="77"/>
      <c r="G114" s="77"/>
    </row>
    <row r="116" spans="1:37" s="389" customFormat="1" ht="19.2" customHeight="1" x14ac:dyDescent="0.3">
      <c r="A116" s="460" t="s">
        <v>553</v>
      </c>
      <c r="B116" s="460"/>
      <c r="C116" s="386"/>
      <c r="D116" s="386"/>
      <c r="E116" s="386"/>
      <c r="F116" s="387"/>
      <c r="G116" s="386"/>
      <c r="H116" s="386"/>
      <c r="I116" s="386"/>
      <c r="J116" s="386"/>
      <c r="K116" s="386"/>
      <c r="L116" s="386"/>
      <c r="M116" s="386"/>
      <c r="N116" s="386"/>
      <c r="O116" s="386"/>
      <c r="P116" s="386"/>
      <c r="Q116" s="386"/>
      <c r="R116" s="386"/>
      <c r="S116" s="386"/>
      <c r="T116" s="386"/>
      <c r="U116" s="386"/>
      <c r="V116" s="386"/>
      <c r="W116" s="386"/>
      <c r="X116" s="386"/>
      <c r="Y116" s="386"/>
      <c r="Z116" s="386"/>
      <c r="AA116" s="386"/>
      <c r="AB116" s="386"/>
      <c r="AC116" s="386"/>
      <c r="AD116" s="386"/>
      <c r="AE116" s="386"/>
      <c r="AF116" s="386"/>
      <c r="AG116" s="386"/>
      <c r="AH116" s="386"/>
      <c r="AI116" s="386"/>
      <c r="AJ116" s="388"/>
      <c r="AK116" s="388"/>
    </row>
    <row r="117" spans="1:37" s="389" customFormat="1" ht="22.8" customHeight="1" x14ac:dyDescent="0.3">
      <c r="A117" s="460" t="s">
        <v>130</v>
      </c>
      <c r="B117" s="460"/>
      <c r="C117" s="386"/>
      <c r="D117" s="386"/>
      <c r="E117" s="386"/>
      <c r="F117" s="387"/>
      <c r="G117" s="386"/>
      <c r="H117" s="386"/>
      <c r="I117" s="386"/>
      <c r="J117" s="386"/>
      <c r="K117" s="386"/>
      <c r="L117" s="386"/>
      <c r="M117" s="386"/>
      <c r="N117" s="386"/>
      <c r="O117" s="386"/>
      <c r="P117" s="386"/>
      <c r="Q117" s="386"/>
      <c r="R117" s="386"/>
      <c r="S117" s="386"/>
      <c r="T117" s="386"/>
      <c r="U117" s="386"/>
      <c r="V117" s="386"/>
      <c r="W117" s="386"/>
      <c r="X117" s="386"/>
      <c r="Y117" s="386"/>
      <c r="Z117" s="386"/>
      <c r="AA117" s="386"/>
      <c r="AB117" s="386"/>
      <c r="AC117" s="386"/>
      <c r="AD117" s="386"/>
      <c r="AE117" s="386"/>
      <c r="AF117" s="386"/>
      <c r="AG117" s="386"/>
      <c r="AH117" s="386"/>
      <c r="AI117" s="386"/>
      <c r="AJ117" s="388"/>
      <c r="AK117" s="388"/>
    </row>
  </sheetData>
  <mergeCells count="4">
    <mergeCell ref="A6:A109"/>
    <mergeCell ref="D4:G4"/>
    <mergeCell ref="A116:B116"/>
    <mergeCell ref="A117:B117"/>
  </mergeCells>
  <pageMargins left="0.39370078740157483" right="0.39370078740157483" top="0.39370078740157483" bottom="0.39370078740157483" header="0.31496062992125984" footer="0.31496062992125984"/>
  <pageSetup paperSize="9" scale="67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165"/>
  <sheetViews>
    <sheetView view="pageBreakPreview" zoomScaleSheetLayoutView="100" workbookViewId="0">
      <selection activeCell="A5" sqref="A5:XFD5"/>
    </sheetView>
  </sheetViews>
  <sheetFormatPr defaultColWidth="9.109375" defaultRowHeight="13.8" x14ac:dyDescent="0.25"/>
  <cols>
    <col min="1" max="1" width="5" style="5" customWidth="1"/>
    <col min="2" max="2" width="29.109375" style="1" customWidth="1"/>
    <col min="3" max="7" width="13.77734375" style="1" customWidth="1"/>
    <col min="8" max="16384" width="9.109375" style="1"/>
  </cols>
  <sheetData>
    <row r="1" spans="1:7" x14ac:dyDescent="0.25">
      <c r="B1" s="4" t="s">
        <v>95</v>
      </c>
    </row>
    <row r="2" spans="1:7" ht="17.25" customHeight="1" x14ac:dyDescent="0.25">
      <c r="A2" s="319" t="str">
        <f>'ст.211,212,213'!A2:B2</f>
        <v>Средства местного бюджета на 2024-2027 годы</v>
      </c>
      <c r="B2" s="319"/>
    </row>
    <row r="3" spans="1:7" s="95" customFormat="1" ht="17.25" customHeight="1" x14ac:dyDescent="0.3">
      <c r="A3" s="90"/>
      <c r="B3" s="374"/>
      <c r="C3" s="77"/>
      <c r="D3" s="77"/>
      <c r="E3" s="77"/>
      <c r="F3" s="77"/>
      <c r="G3" s="87" t="s">
        <v>153</v>
      </c>
    </row>
    <row r="4" spans="1:7" s="53" customFormat="1" ht="36" customHeight="1" x14ac:dyDescent="0.3">
      <c r="A4" s="175"/>
      <c r="B4" s="6"/>
      <c r="C4" s="412"/>
      <c r="D4" s="456" t="s">
        <v>554</v>
      </c>
      <c r="E4" s="457"/>
      <c r="F4" s="457"/>
      <c r="G4" s="458"/>
    </row>
    <row r="5" spans="1:7" s="343" customFormat="1" ht="24" customHeight="1" x14ac:dyDescent="0.3">
      <c r="A5" s="341"/>
      <c r="B5" s="342"/>
      <c r="C5" s="430" t="str">
        <f>СВОД!B4</f>
        <v>2024 (ПФХД на 01.01.2024)</v>
      </c>
      <c r="D5" s="430" t="str">
        <f>СВОД!C4</f>
        <v>2024 ож.факт</v>
      </c>
      <c r="E5" s="430">
        <f>СВОД!D4</f>
        <v>2025</v>
      </c>
      <c r="F5" s="430">
        <f>СВОД!E4</f>
        <v>2026</v>
      </c>
      <c r="G5" s="430">
        <f>СВОД!F4</f>
        <v>2027</v>
      </c>
    </row>
    <row r="6" spans="1:7" s="156" customFormat="1" ht="12" x14ac:dyDescent="0.3">
      <c r="A6" s="434" t="s">
        <v>549</v>
      </c>
      <c r="B6" s="105" t="s">
        <v>10</v>
      </c>
      <c r="C6" s="19">
        <f>C7</f>
        <v>0</v>
      </c>
      <c r="D6" s="19">
        <f>D7</f>
        <v>0</v>
      </c>
      <c r="E6" s="19">
        <f t="shared" ref="E6:G6" si="0">E7</f>
        <v>0</v>
      </c>
      <c r="F6" s="19">
        <f t="shared" si="0"/>
        <v>0</v>
      </c>
      <c r="G6" s="19">
        <f t="shared" si="0"/>
        <v>0</v>
      </c>
    </row>
    <row r="7" spans="1:7" s="156" customFormat="1" ht="12" x14ac:dyDescent="0.3">
      <c r="A7" s="435"/>
      <c r="B7" s="54" t="s">
        <v>483</v>
      </c>
      <c r="C7" s="55"/>
      <c r="D7" s="55"/>
      <c r="E7" s="55"/>
      <c r="F7" s="55"/>
      <c r="G7" s="55"/>
    </row>
    <row r="8" spans="1:7" s="151" customFormat="1" ht="12" x14ac:dyDescent="0.3">
      <c r="A8" s="435"/>
      <c r="B8" s="11" t="s">
        <v>11</v>
      </c>
      <c r="C8" s="19">
        <f>C9*C10*(1+C11)</f>
        <v>0</v>
      </c>
      <c r="D8" s="19">
        <f>D9*D10*(1+D11)</f>
        <v>0</v>
      </c>
      <c r="E8" s="19">
        <f>E9*E10*(1+E11)</f>
        <v>0</v>
      </c>
      <c r="F8" s="19">
        <f>F9*F10*(1+F11)</f>
        <v>0</v>
      </c>
      <c r="G8" s="19">
        <f>G9*G10*(1+G11)</f>
        <v>0</v>
      </c>
    </row>
    <row r="9" spans="1:7" s="80" customFormat="1" ht="12" x14ac:dyDescent="0.3">
      <c r="A9" s="435"/>
      <c r="B9" s="79" t="s">
        <v>68</v>
      </c>
      <c r="C9" s="68"/>
      <c r="D9" s="68"/>
      <c r="E9" s="68"/>
      <c r="F9" s="68"/>
      <c r="G9" s="68"/>
    </row>
    <row r="10" spans="1:7" s="58" customFormat="1" ht="21" customHeight="1" x14ac:dyDescent="0.3">
      <c r="A10" s="435"/>
      <c r="B10" s="54" t="s">
        <v>112</v>
      </c>
      <c r="C10" s="55"/>
      <c r="D10" s="55"/>
      <c r="E10" s="55"/>
      <c r="F10" s="55"/>
      <c r="G10" s="55"/>
    </row>
    <row r="11" spans="1:7" s="94" customFormat="1" ht="12" hidden="1" x14ac:dyDescent="0.3">
      <c r="A11" s="435"/>
      <c r="B11" s="54" t="s">
        <v>145</v>
      </c>
      <c r="C11" s="107"/>
      <c r="D11" s="107"/>
      <c r="E11" s="107"/>
      <c r="F11" s="107"/>
      <c r="G11" s="107"/>
    </row>
    <row r="12" spans="1:7" s="151" customFormat="1" ht="22.8" x14ac:dyDescent="0.3">
      <c r="A12" s="435"/>
      <c r="B12" s="11" t="s">
        <v>128</v>
      </c>
      <c r="C12" s="19">
        <f t="shared" ref="C12" si="1">C14*(1+C15)</f>
        <v>0</v>
      </c>
      <c r="D12" s="19">
        <f t="shared" ref="D12:F12" si="2">D14*(1+D15)</f>
        <v>0</v>
      </c>
      <c r="E12" s="19">
        <f t="shared" ref="E12" si="3">E14*(1+E15)</f>
        <v>0</v>
      </c>
      <c r="F12" s="19">
        <f t="shared" si="2"/>
        <v>0</v>
      </c>
      <c r="G12" s="19">
        <f t="shared" ref="G12" si="4">G14*(1+G15)</f>
        <v>0</v>
      </c>
    </row>
    <row r="13" spans="1:7" s="80" customFormat="1" ht="12" x14ac:dyDescent="0.3">
      <c r="A13" s="435"/>
      <c r="B13" s="79" t="s">
        <v>68</v>
      </c>
      <c r="C13" s="55"/>
      <c r="D13" s="55"/>
      <c r="E13" s="55"/>
      <c r="F13" s="55"/>
      <c r="G13" s="55"/>
    </row>
    <row r="14" spans="1:7" s="58" customFormat="1" ht="12" x14ac:dyDescent="0.3">
      <c r="A14" s="435"/>
      <c r="B14" s="54" t="s">
        <v>483</v>
      </c>
      <c r="C14" s="55"/>
      <c r="D14" s="55"/>
      <c r="E14" s="55"/>
      <c r="F14" s="55"/>
      <c r="G14" s="55"/>
    </row>
    <row r="15" spans="1:7" s="94" customFormat="1" ht="12" hidden="1" x14ac:dyDescent="0.3">
      <c r="A15" s="435"/>
      <c r="B15" s="54" t="s">
        <v>145</v>
      </c>
      <c r="C15" s="107"/>
      <c r="D15" s="107"/>
      <c r="E15" s="107"/>
      <c r="F15" s="107"/>
      <c r="G15" s="107"/>
    </row>
    <row r="16" spans="1:7" s="151" customFormat="1" ht="27" customHeight="1" x14ac:dyDescent="0.3">
      <c r="A16" s="435"/>
      <c r="B16" s="11" t="s">
        <v>576</v>
      </c>
      <c r="C16" s="19">
        <f t="shared" ref="C16" si="5">C17*C18*(1+C19)</f>
        <v>0</v>
      </c>
      <c r="D16" s="19">
        <f t="shared" ref="D16:E16" si="6">D17*D18*(1+D19)</f>
        <v>0</v>
      </c>
      <c r="E16" s="19">
        <f t="shared" si="6"/>
        <v>0</v>
      </c>
      <c r="F16" s="19">
        <f t="shared" ref="F16" si="7">F17*F18*(1+F19)</f>
        <v>0</v>
      </c>
      <c r="G16" s="19">
        <f t="shared" ref="G16" si="8">G17*G18*(1+G19)</f>
        <v>0</v>
      </c>
    </row>
    <row r="17" spans="1:7" s="80" customFormat="1" ht="12" x14ac:dyDescent="0.3">
      <c r="A17" s="435"/>
      <c r="B17" s="79" t="s">
        <v>68</v>
      </c>
      <c r="C17" s="68"/>
      <c r="D17" s="68"/>
      <c r="E17" s="68"/>
      <c r="F17" s="68"/>
      <c r="G17" s="68"/>
    </row>
    <row r="18" spans="1:7" s="58" customFormat="1" ht="12" x14ac:dyDescent="0.3">
      <c r="A18" s="435"/>
      <c r="B18" s="54" t="s">
        <v>112</v>
      </c>
      <c r="C18" s="55"/>
      <c r="D18" s="55"/>
      <c r="E18" s="55"/>
      <c r="F18" s="55"/>
      <c r="G18" s="55"/>
    </row>
    <row r="19" spans="1:7" s="94" customFormat="1" ht="12" hidden="1" x14ac:dyDescent="0.3">
      <c r="A19" s="435"/>
      <c r="B19" s="54" t="s">
        <v>145</v>
      </c>
      <c r="C19" s="107"/>
      <c r="D19" s="107"/>
      <c r="E19" s="107"/>
      <c r="F19" s="107"/>
      <c r="G19" s="107"/>
    </row>
    <row r="20" spans="1:7" s="151" customFormat="1" ht="12" x14ac:dyDescent="0.3">
      <c r="A20" s="435"/>
      <c r="B20" s="11" t="s">
        <v>12</v>
      </c>
      <c r="C20" s="19">
        <f>C21*C22*(1+C23)</f>
        <v>0</v>
      </c>
      <c r="D20" s="19">
        <f>D21*D22*(1+D23)</f>
        <v>0</v>
      </c>
      <c r="E20" s="19">
        <f>E21*E22*(1+E23)</f>
        <v>0</v>
      </c>
      <c r="F20" s="19">
        <f>F21*F22*(1+F23)</f>
        <v>0</v>
      </c>
      <c r="G20" s="19">
        <f>G21*G22*(1+G23)</f>
        <v>0</v>
      </c>
    </row>
    <row r="21" spans="1:7" s="80" customFormat="1" ht="12" x14ac:dyDescent="0.3">
      <c r="A21" s="435"/>
      <c r="B21" s="79" t="s">
        <v>109</v>
      </c>
      <c r="C21" s="68"/>
      <c r="D21" s="68"/>
      <c r="E21" s="68"/>
      <c r="F21" s="68"/>
      <c r="G21" s="68"/>
    </row>
    <row r="22" spans="1:7" s="58" customFormat="1" ht="12" x14ac:dyDescent="0.3">
      <c r="A22" s="435"/>
      <c r="B22" s="54" t="s">
        <v>110</v>
      </c>
      <c r="C22" s="55"/>
      <c r="D22" s="55"/>
      <c r="E22" s="55"/>
      <c r="F22" s="55"/>
      <c r="G22" s="55"/>
    </row>
    <row r="23" spans="1:7" s="94" customFormat="1" ht="12" hidden="1" x14ac:dyDescent="0.3">
      <c r="A23" s="435"/>
      <c r="B23" s="54" t="s">
        <v>145</v>
      </c>
      <c r="C23" s="107"/>
      <c r="D23" s="107"/>
      <c r="E23" s="107"/>
      <c r="F23" s="107"/>
      <c r="G23" s="107"/>
    </row>
    <row r="24" spans="1:7" s="151" customFormat="1" ht="12" x14ac:dyDescent="0.3">
      <c r="A24" s="435"/>
      <c r="B24" s="11" t="s">
        <v>481</v>
      </c>
      <c r="C24" s="19">
        <f t="shared" ref="C24" si="9">C25*C26*(1+C27)</f>
        <v>0</v>
      </c>
      <c r="D24" s="19">
        <f t="shared" ref="D24:E24" si="10">D25*D26*(1+D27)</f>
        <v>0</v>
      </c>
      <c r="E24" s="19">
        <f t="shared" si="10"/>
        <v>0</v>
      </c>
      <c r="F24" s="19">
        <f t="shared" ref="F24" si="11">F25*F26*(1+F27)</f>
        <v>0</v>
      </c>
      <c r="G24" s="19">
        <f t="shared" ref="G24" si="12">G25*G26*(1+G27)</f>
        <v>0</v>
      </c>
    </row>
    <row r="25" spans="1:7" s="80" customFormat="1" ht="12" x14ac:dyDescent="0.3">
      <c r="A25" s="435"/>
      <c r="B25" s="79" t="s">
        <v>67</v>
      </c>
      <c r="C25" s="68"/>
      <c r="D25" s="68"/>
      <c r="E25" s="68"/>
      <c r="F25" s="68"/>
      <c r="G25" s="68"/>
    </row>
    <row r="26" spans="1:7" s="165" customFormat="1" ht="12" x14ac:dyDescent="0.3">
      <c r="A26" s="435"/>
      <c r="B26" s="93" t="s">
        <v>110</v>
      </c>
      <c r="C26" s="55"/>
      <c r="D26" s="55"/>
      <c r="E26" s="55"/>
      <c r="F26" s="55"/>
      <c r="G26" s="55"/>
    </row>
    <row r="27" spans="1:7" s="94" customFormat="1" ht="12" hidden="1" x14ac:dyDescent="0.3">
      <c r="A27" s="435"/>
      <c r="B27" s="54" t="s">
        <v>145</v>
      </c>
      <c r="C27" s="107"/>
      <c r="D27" s="107"/>
      <c r="E27" s="107"/>
      <c r="F27" s="107"/>
      <c r="G27" s="107"/>
    </row>
    <row r="28" spans="1:7" s="151" customFormat="1" ht="12" x14ac:dyDescent="0.3">
      <c r="A28" s="435"/>
      <c r="B28" s="11" t="s">
        <v>113</v>
      </c>
      <c r="C28" s="19">
        <f>C29*C30*(1+C31)</f>
        <v>0</v>
      </c>
      <c r="D28" s="19">
        <f>D29*D30*(1+D31)</f>
        <v>0</v>
      </c>
      <c r="E28" s="19">
        <f>E29*E30*(1+E31)</f>
        <v>0</v>
      </c>
      <c r="F28" s="19">
        <f>F29*F30*(1+F31)</f>
        <v>0</v>
      </c>
      <c r="G28" s="19">
        <f>G29*G30*(1+G31)</f>
        <v>0</v>
      </c>
    </row>
    <row r="29" spans="1:7" s="80" customFormat="1" ht="12" x14ac:dyDescent="0.3">
      <c r="A29" s="435"/>
      <c r="B29" s="79" t="s">
        <v>67</v>
      </c>
      <c r="C29" s="68"/>
      <c r="D29" s="68"/>
      <c r="E29" s="68"/>
      <c r="F29" s="68"/>
      <c r="G29" s="68"/>
    </row>
    <row r="30" spans="1:7" s="58" customFormat="1" ht="12" x14ac:dyDescent="0.3">
      <c r="A30" s="435"/>
      <c r="B30" s="54" t="s">
        <v>110</v>
      </c>
      <c r="C30" s="55"/>
      <c r="D30" s="55"/>
      <c r="E30" s="55"/>
      <c r="F30" s="55"/>
      <c r="G30" s="55"/>
    </row>
    <row r="31" spans="1:7" s="94" customFormat="1" ht="12" hidden="1" x14ac:dyDescent="0.3">
      <c r="A31" s="435"/>
      <c r="B31" s="54" t="s">
        <v>145</v>
      </c>
      <c r="C31" s="107"/>
      <c r="D31" s="107"/>
      <c r="E31" s="107"/>
      <c r="F31" s="107"/>
      <c r="G31" s="107"/>
    </row>
    <row r="32" spans="1:7" s="151" customFormat="1" ht="22.8" x14ac:dyDescent="0.3">
      <c r="A32" s="435"/>
      <c r="B32" s="11" t="s">
        <v>577</v>
      </c>
      <c r="C32" s="19">
        <f>C33*C34</f>
        <v>0</v>
      </c>
      <c r="D32" s="19">
        <f>D33*D34</f>
        <v>0</v>
      </c>
      <c r="E32" s="19">
        <f>E33*E34</f>
        <v>0</v>
      </c>
      <c r="F32" s="19">
        <f>F33*F34</f>
        <v>0</v>
      </c>
      <c r="G32" s="19">
        <f>G33*G34</f>
        <v>0</v>
      </c>
    </row>
    <row r="33" spans="1:7" s="80" customFormat="1" ht="12" x14ac:dyDescent="0.3">
      <c r="A33" s="435"/>
      <c r="B33" s="79" t="s">
        <v>66</v>
      </c>
      <c r="C33" s="68"/>
      <c r="D33" s="68"/>
      <c r="E33" s="68"/>
      <c r="F33" s="68"/>
      <c r="G33" s="68"/>
    </row>
    <row r="34" spans="1:7" s="58" customFormat="1" ht="12" x14ac:dyDescent="0.3">
      <c r="A34" s="435"/>
      <c r="B34" s="54" t="s">
        <v>63</v>
      </c>
      <c r="C34" s="55"/>
      <c r="D34" s="55"/>
      <c r="E34" s="55"/>
      <c r="F34" s="55"/>
      <c r="G34" s="55"/>
    </row>
    <row r="35" spans="1:7" s="151" customFormat="1" ht="12" x14ac:dyDescent="0.3">
      <c r="A35" s="435"/>
      <c r="B35" s="11" t="s">
        <v>40</v>
      </c>
      <c r="C35" s="19">
        <f t="shared" ref="C35" si="13">C36*C37</f>
        <v>0</v>
      </c>
      <c r="D35" s="19">
        <f t="shared" ref="D35:E35" si="14">D36*D37</f>
        <v>0</v>
      </c>
      <c r="E35" s="19">
        <f t="shared" si="14"/>
        <v>0</v>
      </c>
      <c r="F35" s="19">
        <f t="shared" ref="F35" si="15">F36*F37</f>
        <v>0</v>
      </c>
      <c r="G35" s="19">
        <f t="shared" ref="G35" si="16">G36*G37</f>
        <v>0</v>
      </c>
    </row>
    <row r="36" spans="1:7" s="80" customFormat="1" ht="12" x14ac:dyDescent="0.3">
      <c r="A36" s="435"/>
      <c r="B36" s="79" t="s">
        <v>66</v>
      </c>
      <c r="C36" s="68"/>
      <c r="D36" s="68"/>
      <c r="E36" s="68"/>
      <c r="F36" s="68"/>
      <c r="G36" s="68"/>
    </row>
    <row r="37" spans="1:7" s="58" customFormat="1" ht="12" x14ac:dyDescent="0.3">
      <c r="A37" s="435"/>
      <c r="B37" s="54" t="s">
        <v>63</v>
      </c>
      <c r="C37" s="57"/>
      <c r="D37" s="57"/>
      <c r="E37" s="57"/>
      <c r="F37" s="57"/>
      <c r="G37" s="57"/>
    </row>
    <row r="38" spans="1:7" s="151" customFormat="1" ht="12" x14ac:dyDescent="0.3">
      <c r="A38" s="435"/>
      <c r="B38" s="11" t="s">
        <v>37</v>
      </c>
      <c r="C38" s="19">
        <f>C39</f>
        <v>0</v>
      </c>
      <c r="D38" s="19">
        <f>D39</f>
        <v>0</v>
      </c>
      <c r="E38" s="19">
        <f t="shared" ref="E38:G38" si="17">E39</f>
        <v>0</v>
      </c>
      <c r="F38" s="19">
        <f t="shared" si="17"/>
        <v>0</v>
      </c>
      <c r="G38" s="19">
        <f t="shared" si="17"/>
        <v>0</v>
      </c>
    </row>
    <row r="39" spans="1:7" s="58" customFormat="1" ht="12" x14ac:dyDescent="0.3">
      <c r="A39" s="435"/>
      <c r="B39" s="54" t="s">
        <v>63</v>
      </c>
      <c r="C39" s="57"/>
      <c r="D39" s="57"/>
      <c r="E39" s="57"/>
      <c r="F39" s="57"/>
      <c r="G39" s="57"/>
    </row>
    <row r="40" spans="1:7" s="151" customFormat="1" ht="12" x14ac:dyDescent="0.3">
      <c r="A40" s="435"/>
      <c r="B40" s="11" t="s">
        <v>44</v>
      </c>
      <c r="C40" s="19">
        <f t="shared" ref="C40" si="18">C41*C42</f>
        <v>0</v>
      </c>
      <c r="D40" s="19">
        <f t="shared" ref="D40:E40" si="19">D41*D42</f>
        <v>0</v>
      </c>
      <c r="E40" s="19">
        <f t="shared" si="19"/>
        <v>0</v>
      </c>
      <c r="F40" s="19">
        <f t="shared" ref="F40" si="20">F41*F42</f>
        <v>0</v>
      </c>
      <c r="G40" s="19">
        <f t="shared" ref="G40" si="21">G41*G42</f>
        <v>0</v>
      </c>
    </row>
    <row r="41" spans="1:7" s="80" customFormat="1" ht="12" x14ac:dyDescent="0.3">
      <c r="A41" s="435"/>
      <c r="B41" s="79" t="s">
        <v>66</v>
      </c>
      <c r="C41" s="68"/>
      <c r="D41" s="68"/>
      <c r="E41" s="68"/>
      <c r="F41" s="68"/>
      <c r="G41" s="68"/>
    </row>
    <row r="42" spans="1:7" s="58" customFormat="1" ht="12" x14ac:dyDescent="0.3">
      <c r="A42" s="435"/>
      <c r="B42" s="54" t="s">
        <v>63</v>
      </c>
      <c r="C42" s="55"/>
      <c r="D42" s="55"/>
      <c r="E42" s="55"/>
      <c r="F42" s="55"/>
      <c r="G42" s="55"/>
    </row>
    <row r="43" spans="1:7" s="151" customFormat="1" ht="12" x14ac:dyDescent="0.3">
      <c r="A43" s="435"/>
      <c r="B43" s="11" t="s">
        <v>13</v>
      </c>
      <c r="C43" s="19">
        <f>C44*(1+C45)</f>
        <v>0</v>
      </c>
      <c r="D43" s="19">
        <f>D44*(1+D45)</f>
        <v>0</v>
      </c>
      <c r="E43" s="19">
        <f>E44*(1+E45)</f>
        <v>0</v>
      </c>
      <c r="F43" s="19">
        <f>F44*(1+F45)</f>
        <v>0</v>
      </c>
      <c r="G43" s="19">
        <f>G44*(1+G45)</f>
        <v>0</v>
      </c>
    </row>
    <row r="44" spans="1:7" s="58" customFormat="1" ht="12" x14ac:dyDescent="0.3">
      <c r="A44" s="435"/>
      <c r="B44" s="54" t="s">
        <v>63</v>
      </c>
      <c r="C44" s="144"/>
      <c r="D44" s="144"/>
      <c r="E44" s="144"/>
      <c r="F44" s="144"/>
      <c r="G44" s="144"/>
    </row>
    <row r="45" spans="1:7" s="94" customFormat="1" ht="12" hidden="1" x14ac:dyDescent="0.3">
      <c r="A45" s="435"/>
      <c r="B45" s="54" t="s">
        <v>145</v>
      </c>
      <c r="C45" s="107"/>
      <c r="D45" s="107"/>
      <c r="E45" s="107"/>
      <c r="F45" s="107"/>
      <c r="G45" s="107"/>
    </row>
    <row r="46" spans="1:7" s="13" customFormat="1" ht="12" x14ac:dyDescent="0.3">
      <c r="A46" s="435"/>
      <c r="B46" s="11" t="s">
        <v>14</v>
      </c>
      <c r="C46" s="19">
        <f>C47</f>
        <v>0</v>
      </c>
      <c r="D46" s="19">
        <f>D47</f>
        <v>0</v>
      </c>
      <c r="E46" s="19">
        <f t="shared" ref="E46:G46" si="22">E47</f>
        <v>0</v>
      </c>
      <c r="F46" s="19">
        <f t="shared" si="22"/>
        <v>0</v>
      </c>
      <c r="G46" s="19">
        <f t="shared" si="22"/>
        <v>0</v>
      </c>
    </row>
    <row r="47" spans="1:7" s="58" customFormat="1" ht="12" x14ac:dyDescent="0.3">
      <c r="A47" s="435"/>
      <c r="B47" s="54" t="s">
        <v>63</v>
      </c>
      <c r="C47" s="144"/>
      <c r="D47" s="144"/>
      <c r="E47" s="144"/>
      <c r="F47" s="144"/>
      <c r="G47" s="144"/>
    </row>
    <row r="48" spans="1:7" s="151" customFormat="1" ht="12" x14ac:dyDescent="0.3">
      <c r="A48" s="435"/>
      <c r="B48" s="11" t="s">
        <v>578</v>
      </c>
      <c r="C48" s="19">
        <f>C49</f>
        <v>0</v>
      </c>
      <c r="D48" s="19">
        <f>D49</f>
        <v>0</v>
      </c>
      <c r="E48" s="19">
        <f t="shared" ref="E48:G48" si="23">E49</f>
        <v>0</v>
      </c>
      <c r="F48" s="19">
        <f t="shared" si="23"/>
        <v>0</v>
      </c>
      <c r="G48" s="19">
        <f t="shared" si="23"/>
        <v>0</v>
      </c>
    </row>
    <row r="49" spans="1:7" s="58" customFormat="1" ht="12" x14ac:dyDescent="0.3">
      <c r="A49" s="435"/>
      <c r="B49" s="54" t="s">
        <v>63</v>
      </c>
      <c r="C49" s="144"/>
      <c r="D49" s="144"/>
      <c r="E49" s="144"/>
      <c r="F49" s="144"/>
      <c r="G49" s="144"/>
    </row>
    <row r="50" spans="1:7" s="151" customFormat="1" ht="22.8" x14ac:dyDescent="0.3">
      <c r="A50" s="435"/>
      <c r="B50" s="11" t="s">
        <v>579</v>
      </c>
      <c r="C50" s="19">
        <f>C51</f>
        <v>0</v>
      </c>
      <c r="D50" s="19">
        <f>D51</f>
        <v>0</v>
      </c>
      <c r="E50" s="19">
        <f t="shared" ref="E50" si="24">E51</f>
        <v>0</v>
      </c>
      <c r="F50" s="19">
        <f t="shared" ref="F50" si="25">F51</f>
        <v>0</v>
      </c>
      <c r="G50" s="19">
        <f t="shared" ref="G50" si="26">G51</f>
        <v>0</v>
      </c>
    </row>
    <row r="51" spans="1:7" s="58" customFormat="1" ht="12" x14ac:dyDescent="0.3">
      <c r="A51" s="435"/>
      <c r="B51" s="54" t="s">
        <v>63</v>
      </c>
      <c r="C51" s="144"/>
      <c r="D51" s="144"/>
      <c r="E51" s="144"/>
      <c r="F51" s="144"/>
      <c r="G51" s="144"/>
    </row>
    <row r="52" spans="1:7" s="151" customFormat="1" ht="12" x14ac:dyDescent="0.3">
      <c r="A52" s="435"/>
      <c r="B52" s="11" t="s">
        <v>16</v>
      </c>
      <c r="C52" s="19">
        <f>C53*C54*(1+C55)</f>
        <v>0</v>
      </c>
      <c r="D52" s="19">
        <f>D53*D54*(1+D55)</f>
        <v>0</v>
      </c>
      <c r="E52" s="19">
        <f>E53*E54*(1+E55)</f>
        <v>0</v>
      </c>
      <c r="F52" s="19">
        <f>F53*F54*(1+F55)</f>
        <v>0</v>
      </c>
      <c r="G52" s="19">
        <f>G53*G54*(1+G55)</f>
        <v>0</v>
      </c>
    </row>
    <row r="53" spans="1:7" s="80" customFormat="1" ht="12" x14ac:dyDescent="0.3">
      <c r="A53" s="435"/>
      <c r="B53" s="79" t="s">
        <v>66</v>
      </c>
      <c r="C53" s="68"/>
      <c r="D53" s="68"/>
      <c r="E53" s="68"/>
      <c r="F53" s="68"/>
      <c r="G53" s="68"/>
    </row>
    <row r="54" spans="1:7" s="58" customFormat="1" ht="12" x14ac:dyDescent="0.3">
      <c r="A54" s="435"/>
      <c r="B54" s="54" t="s">
        <v>180</v>
      </c>
      <c r="C54" s="55"/>
      <c r="D54" s="55"/>
      <c r="E54" s="55"/>
      <c r="F54" s="55"/>
      <c r="G54" s="55"/>
    </row>
    <row r="55" spans="1:7" s="94" customFormat="1" ht="12" hidden="1" x14ac:dyDescent="0.3">
      <c r="A55" s="435"/>
      <c r="B55" s="54" t="s">
        <v>145</v>
      </c>
      <c r="C55" s="107"/>
      <c r="D55" s="107"/>
      <c r="E55" s="107"/>
      <c r="F55" s="107"/>
      <c r="G55" s="107"/>
    </row>
    <row r="56" spans="1:7" s="151" customFormat="1" ht="22.8" x14ac:dyDescent="0.3">
      <c r="A56" s="435"/>
      <c r="B56" s="11" t="s">
        <v>182</v>
      </c>
      <c r="C56" s="19">
        <f>C57*C58*(1+C59)</f>
        <v>0</v>
      </c>
      <c r="D56" s="19">
        <f>D57*D58*(1+D59)</f>
        <v>0</v>
      </c>
      <c r="E56" s="19">
        <f>E57*E58*(1+E59)</f>
        <v>0</v>
      </c>
      <c r="F56" s="19">
        <f>F57*F58*(1+F59)</f>
        <v>0</v>
      </c>
      <c r="G56" s="19">
        <f>G57*G58*(1+G59)</f>
        <v>0</v>
      </c>
    </row>
    <row r="57" spans="1:7" s="80" customFormat="1" ht="12" x14ac:dyDescent="0.3">
      <c r="A57" s="435"/>
      <c r="B57" s="79" t="s">
        <v>66</v>
      </c>
      <c r="C57" s="68"/>
      <c r="D57" s="68"/>
      <c r="E57" s="68"/>
      <c r="F57" s="68"/>
      <c r="G57" s="68"/>
    </row>
    <row r="58" spans="1:7" s="58" customFormat="1" ht="12" x14ac:dyDescent="0.3">
      <c r="A58" s="435"/>
      <c r="B58" s="54" t="s">
        <v>180</v>
      </c>
      <c r="C58" s="55"/>
      <c r="D58" s="55"/>
      <c r="E58" s="55"/>
      <c r="F58" s="55"/>
      <c r="G58" s="55"/>
    </row>
    <row r="59" spans="1:7" s="94" customFormat="1" ht="12" hidden="1" x14ac:dyDescent="0.3">
      <c r="A59" s="435"/>
      <c r="B59" s="54" t="s">
        <v>145</v>
      </c>
      <c r="C59" s="107"/>
      <c r="D59" s="107"/>
      <c r="E59" s="107"/>
      <c r="F59" s="107"/>
      <c r="G59" s="107"/>
    </row>
    <row r="60" spans="1:7" s="151" customFormat="1" ht="45.6" x14ac:dyDescent="0.3">
      <c r="A60" s="435"/>
      <c r="B60" s="11" t="s">
        <v>520</v>
      </c>
      <c r="C60" s="19">
        <f>C61*C62*(1+C63)</f>
        <v>0</v>
      </c>
      <c r="D60" s="19">
        <f>D61*D62*(1+D63)</f>
        <v>0</v>
      </c>
      <c r="E60" s="19">
        <f>E61*E62*(1+E63)</f>
        <v>0</v>
      </c>
      <c r="F60" s="19">
        <f>F61*F62*(1+F63)</f>
        <v>0</v>
      </c>
      <c r="G60" s="19">
        <f>G61*G62*(1+G63)</f>
        <v>0</v>
      </c>
    </row>
    <row r="61" spans="1:7" s="80" customFormat="1" ht="12" x14ac:dyDescent="0.3">
      <c r="A61" s="435"/>
      <c r="B61" s="79" t="s">
        <v>66</v>
      </c>
      <c r="C61" s="68"/>
      <c r="D61" s="68"/>
      <c r="E61" s="68"/>
      <c r="F61" s="68"/>
      <c r="G61" s="68"/>
    </row>
    <row r="62" spans="1:7" s="58" customFormat="1" ht="12" x14ac:dyDescent="0.3">
      <c r="A62" s="435"/>
      <c r="B62" s="54" t="s">
        <v>180</v>
      </c>
      <c r="C62" s="55"/>
      <c r="D62" s="55"/>
      <c r="E62" s="55"/>
      <c r="F62" s="55"/>
      <c r="G62" s="55"/>
    </row>
    <row r="63" spans="1:7" s="94" customFormat="1" ht="12" hidden="1" x14ac:dyDescent="0.3">
      <c r="A63" s="435"/>
      <c r="B63" s="54" t="s">
        <v>145</v>
      </c>
      <c r="C63" s="107"/>
      <c r="D63" s="107"/>
      <c r="E63" s="107"/>
      <c r="F63" s="107"/>
      <c r="G63" s="107"/>
    </row>
    <row r="64" spans="1:7" s="151" customFormat="1" ht="12" x14ac:dyDescent="0.3">
      <c r="A64" s="435"/>
      <c r="B64" s="11" t="s">
        <v>580</v>
      </c>
      <c r="C64" s="19">
        <f>C66+C68</f>
        <v>0</v>
      </c>
      <c r="D64" s="19">
        <f>D66+D68</f>
        <v>0</v>
      </c>
      <c r="E64" s="19">
        <f>E66*E65+E68*E67</f>
        <v>0</v>
      </c>
      <c r="F64" s="19">
        <f>F66*F65+F68*F67</f>
        <v>0</v>
      </c>
      <c r="G64" s="19">
        <f>G66*G65+G68*G67</f>
        <v>0</v>
      </c>
    </row>
    <row r="65" spans="1:7" s="80" customFormat="1" ht="12" x14ac:dyDescent="0.3">
      <c r="A65" s="435"/>
      <c r="B65" s="79" t="s">
        <v>66</v>
      </c>
      <c r="C65" s="68"/>
      <c r="D65" s="68"/>
      <c r="E65" s="68"/>
      <c r="F65" s="68"/>
      <c r="G65" s="68"/>
    </row>
    <row r="66" spans="1:7" s="58" customFormat="1" ht="12" x14ac:dyDescent="0.3">
      <c r="A66" s="435"/>
      <c r="B66" s="54" t="s">
        <v>63</v>
      </c>
      <c r="C66" s="55"/>
      <c r="D66" s="55"/>
      <c r="E66" s="55"/>
      <c r="F66" s="55"/>
      <c r="G66" s="55"/>
    </row>
    <row r="67" spans="1:7" s="80" customFormat="1" ht="12" x14ac:dyDescent="0.3">
      <c r="A67" s="435"/>
      <c r="B67" s="79" t="s">
        <v>66</v>
      </c>
      <c r="C67" s="68"/>
      <c r="D67" s="68"/>
      <c r="E67" s="68"/>
      <c r="F67" s="68"/>
      <c r="G67" s="68"/>
    </row>
    <row r="68" spans="1:7" s="58" customFormat="1" ht="12" x14ac:dyDescent="0.3">
      <c r="A68" s="435"/>
      <c r="B68" s="54" t="s">
        <v>63</v>
      </c>
      <c r="C68" s="55"/>
      <c r="D68" s="55"/>
      <c r="E68" s="55"/>
      <c r="F68" s="55"/>
      <c r="G68" s="55"/>
    </row>
    <row r="69" spans="1:7" s="151" customFormat="1" ht="12" x14ac:dyDescent="0.3">
      <c r="A69" s="435"/>
      <c r="B69" s="11" t="s">
        <v>581</v>
      </c>
      <c r="C69" s="19">
        <f t="shared" ref="C69:D69" si="27">C70*C72*(1+C73)</f>
        <v>0</v>
      </c>
      <c r="D69" s="19">
        <f t="shared" si="27"/>
        <v>0</v>
      </c>
      <c r="E69" s="19">
        <f>E70*E72*E71*(1+E73)</f>
        <v>0</v>
      </c>
      <c r="F69" s="19">
        <f>F70*F72*F71*(1+F73)</f>
        <v>0</v>
      </c>
      <c r="G69" s="19">
        <f>G70*G72*G71*(1+G73)</f>
        <v>0</v>
      </c>
    </row>
    <row r="70" spans="1:7" s="80" customFormat="1" ht="12" x14ac:dyDescent="0.3">
      <c r="A70" s="435"/>
      <c r="B70" s="79" t="s">
        <v>109</v>
      </c>
      <c r="C70" s="68"/>
      <c r="D70" s="68"/>
      <c r="E70" s="68"/>
      <c r="F70" s="68"/>
      <c r="G70" s="68"/>
    </row>
    <row r="71" spans="1:7" s="80" customFormat="1" ht="12" x14ac:dyDescent="0.3">
      <c r="A71" s="435"/>
      <c r="B71" s="79" t="s">
        <v>517</v>
      </c>
      <c r="C71" s="68"/>
      <c r="D71" s="68"/>
      <c r="E71" s="68"/>
      <c r="F71" s="68"/>
      <c r="G71" s="68"/>
    </row>
    <row r="72" spans="1:7" s="58" customFormat="1" ht="12" x14ac:dyDescent="0.3">
      <c r="A72" s="435"/>
      <c r="B72" s="54" t="s">
        <v>63</v>
      </c>
      <c r="C72" s="55"/>
      <c r="D72" s="55"/>
      <c r="E72" s="55"/>
      <c r="F72" s="55"/>
      <c r="G72" s="55"/>
    </row>
    <row r="73" spans="1:7" s="94" customFormat="1" ht="12" hidden="1" x14ac:dyDescent="0.3">
      <c r="A73" s="435"/>
      <c r="B73" s="54" t="s">
        <v>145</v>
      </c>
      <c r="C73" s="107"/>
      <c r="D73" s="107"/>
      <c r="E73" s="107"/>
      <c r="F73" s="107"/>
      <c r="G73" s="107"/>
    </row>
    <row r="74" spans="1:7" s="151" customFormat="1" ht="27.75" customHeight="1" x14ac:dyDescent="0.3">
      <c r="A74" s="435"/>
      <c r="B74" s="11" t="s">
        <v>184</v>
      </c>
      <c r="C74" s="19">
        <f>C75*C76*C77*(1+C78)</f>
        <v>0</v>
      </c>
      <c r="D74" s="19">
        <f>D75*D76*D77*(1+D78)</f>
        <v>0</v>
      </c>
      <c r="E74" s="19">
        <f>E75*E76*E77*(1+E78)</f>
        <v>0</v>
      </c>
      <c r="F74" s="19">
        <f>F75*F76*F77*(1+F78)</f>
        <v>0</v>
      </c>
      <c r="G74" s="19">
        <f>G75*G76*G77*(1+G78)</f>
        <v>0</v>
      </c>
    </row>
    <row r="75" spans="1:7" s="80" customFormat="1" ht="12" x14ac:dyDescent="0.3">
      <c r="A75" s="435"/>
      <c r="B75" s="79" t="s">
        <v>64</v>
      </c>
      <c r="C75" s="68"/>
      <c r="D75" s="68"/>
      <c r="E75" s="68"/>
      <c r="F75" s="68"/>
      <c r="G75" s="68"/>
    </row>
    <row r="76" spans="1:7" s="58" customFormat="1" ht="12" x14ac:dyDescent="0.3">
      <c r="A76" s="435"/>
      <c r="B76" s="54" t="s">
        <v>68</v>
      </c>
      <c r="C76" s="55"/>
      <c r="D76" s="55"/>
      <c r="E76" s="55"/>
      <c r="F76" s="55"/>
      <c r="G76" s="55"/>
    </row>
    <row r="77" spans="1:7" s="58" customFormat="1" ht="12" x14ac:dyDescent="0.3">
      <c r="A77" s="435"/>
      <c r="B77" s="54" t="s">
        <v>63</v>
      </c>
      <c r="C77" s="55"/>
      <c r="D77" s="55"/>
      <c r="E77" s="55"/>
      <c r="F77" s="55"/>
      <c r="G77" s="55"/>
    </row>
    <row r="78" spans="1:7" s="94" customFormat="1" ht="12" hidden="1" x14ac:dyDescent="0.3">
      <c r="A78" s="435"/>
      <c r="B78" s="54" t="s">
        <v>145</v>
      </c>
      <c r="C78" s="107"/>
      <c r="D78" s="107"/>
      <c r="E78" s="107"/>
      <c r="F78" s="107"/>
      <c r="G78" s="107"/>
    </row>
    <row r="79" spans="1:7" s="153" customFormat="1" ht="26.25" customHeight="1" x14ac:dyDescent="0.3">
      <c r="A79" s="435"/>
      <c r="B79" s="11" t="s">
        <v>47</v>
      </c>
      <c r="C79" s="19">
        <f>C80</f>
        <v>0</v>
      </c>
      <c r="D79" s="19">
        <f>D80</f>
        <v>0</v>
      </c>
      <c r="E79" s="19">
        <f t="shared" ref="E79:G79" si="28">E80</f>
        <v>0</v>
      </c>
      <c r="F79" s="19">
        <f t="shared" si="28"/>
        <v>0</v>
      </c>
      <c r="G79" s="19">
        <f t="shared" si="28"/>
        <v>0</v>
      </c>
    </row>
    <row r="80" spans="1:7" s="58" customFormat="1" ht="12" x14ac:dyDescent="0.3">
      <c r="A80" s="435"/>
      <c r="B80" s="54" t="s">
        <v>63</v>
      </c>
      <c r="C80" s="144"/>
      <c r="D80" s="144"/>
      <c r="E80" s="144"/>
      <c r="F80" s="144"/>
      <c r="G80" s="144"/>
    </row>
    <row r="81" spans="1:7" s="153" customFormat="1" ht="47.4" customHeight="1" x14ac:dyDescent="0.3">
      <c r="A81" s="435"/>
      <c r="B81" s="11" t="s">
        <v>547</v>
      </c>
      <c r="C81" s="19">
        <f>C82</f>
        <v>0</v>
      </c>
      <c r="D81" s="19">
        <f>D82</f>
        <v>0</v>
      </c>
      <c r="E81" s="19">
        <f t="shared" ref="E81:G81" si="29">E82</f>
        <v>0</v>
      </c>
      <c r="F81" s="19">
        <f t="shared" si="29"/>
        <v>0</v>
      </c>
      <c r="G81" s="19">
        <f t="shared" si="29"/>
        <v>0</v>
      </c>
    </row>
    <row r="82" spans="1:7" s="58" customFormat="1" ht="12" x14ac:dyDescent="0.3">
      <c r="A82" s="435"/>
      <c r="B82" s="54" t="s">
        <v>63</v>
      </c>
      <c r="C82" s="144"/>
      <c r="D82" s="144"/>
      <c r="E82" s="144"/>
      <c r="F82" s="144"/>
      <c r="G82" s="144"/>
    </row>
    <row r="83" spans="1:7" s="153" customFormat="1" ht="45.6" x14ac:dyDescent="0.3">
      <c r="A83" s="435"/>
      <c r="B83" s="11" t="s">
        <v>185</v>
      </c>
      <c r="C83" s="19">
        <f t="shared" ref="C83" si="30">C84*C85*(1+C86)</f>
        <v>0</v>
      </c>
      <c r="D83" s="19">
        <f t="shared" ref="D83:E83" si="31">D84*D85*(1+D86)</f>
        <v>0</v>
      </c>
      <c r="E83" s="19">
        <f t="shared" si="31"/>
        <v>0</v>
      </c>
      <c r="F83" s="19">
        <f t="shared" ref="F83" si="32">F84*F85*(1+F86)</f>
        <v>0</v>
      </c>
      <c r="G83" s="19">
        <f t="shared" ref="G83" si="33">G84*G85*(1+G86)</f>
        <v>0</v>
      </c>
    </row>
    <row r="84" spans="1:7" s="80" customFormat="1" ht="12" x14ac:dyDescent="0.3">
      <c r="A84" s="435"/>
      <c r="B84" s="79" t="s">
        <v>114</v>
      </c>
      <c r="C84" s="68"/>
      <c r="D84" s="68"/>
      <c r="E84" s="68"/>
      <c r="F84" s="68"/>
      <c r="G84" s="68"/>
    </row>
    <row r="85" spans="1:7" s="58" customFormat="1" ht="12" x14ac:dyDescent="0.3">
      <c r="A85" s="435"/>
      <c r="B85" s="54" t="s">
        <v>110</v>
      </c>
      <c r="C85" s="55"/>
      <c r="D85" s="55"/>
      <c r="E85" s="55"/>
      <c r="F85" s="55"/>
      <c r="G85" s="55"/>
    </row>
    <row r="86" spans="1:7" s="94" customFormat="1" ht="12" hidden="1" customHeight="1" x14ac:dyDescent="0.3">
      <c r="A86" s="435"/>
      <c r="B86" s="54" t="s">
        <v>145</v>
      </c>
      <c r="C86" s="107"/>
      <c r="D86" s="107"/>
      <c r="E86" s="107"/>
      <c r="F86" s="107"/>
      <c r="G86" s="107"/>
    </row>
    <row r="87" spans="1:7" s="153" customFormat="1" ht="42" x14ac:dyDescent="0.3">
      <c r="A87" s="435"/>
      <c r="B87" s="11" t="s">
        <v>582</v>
      </c>
      <c r="C87" s="19">
        <f>C89*C88</f>
        <v>0</v>
      </c>
      <c r="D87" s="19">
        <f>D89*D88</f>
        <v>0</v>
      </c>
      <c r="E87" s="19">
        <f>E89*E88</f>
        <v>0</v>
      </c>
      <c r="F87" s="19">
        <f>F89*F88</f>
        <v>0</v>
      </c>
      <c r="G87" s="19">
        <f>G89*G88</f>
        <v>0</v>
      </c>
    </row>
    <row r="88" spans="1:7" s="80" customFormat="1" ht="12" x14ac:dyDescent="0.3">
      <c r="A88" s="435"/>
      <c r="B88" s="79" t="s">
        <v>66</v>
      </c>
      <c r="C88" s="68"/>
      <c r="D88" s="68"/>
      <c r="E88" s="68"/>
      <c r="F88" s="68"/>
      <c r="G88" s="68"/>
    </row>
    <row r="89" spans="1:7" s="58" customFormat="1" ht="12" x14ac:dyDescent="0.3">
      <c r="A89" s="435"/>
      <c r="B89" s="54" t="s">
        <v>63</v>
      </c>
      <c r="C89" s="55"/>
      <c r="D89" s="55"/>
      <c r="E89" s="55"/>
      <c r="F89" s="55"/>
      <c r="G89" s="55"/>
    </row>
    <row r="90" spans="1:7" s="94" customFormat="1" ht="12" hidden="1" x14ac:dyDescent="0.3">
      <c r="A90" s="435"/>
      <c r="B90" s="54" t="s">
        <v>145</v>
      </c>
      <c r="C90" s="107"/>
      <c r="D90" s="107"/>
      <c r="E90" s="107"/>
      <c r="F90" s="107"/>
      <c r="G90" s="107"/>
    </row>
    <row r="91" spans="1:7" s="26" customFormat="1" ht="12" x14ac:dyDescent="0.3">
      <c r="A91" s="435"/>
      <c r="B91" s="11" t="s">
        <v>521</v>
      </c>
      <c r="C91" s="19">
        <f>C93*C92</f>
        <v>0</v>
      </c>
      <c r="D91" s="19">
        <f>D93*D92</f>
        <v>0</v>
      </c>
      <c r="E91" s="19">
        <f>E93*E92</f>
        <v>0</v>
      </c>
      <c r="F91" s="19">
        <f>F93*F92</f>
        <v>0</v>
      </c>
      <c r="G91" s="19">
        <f>G93*G92</f>
        <v>0</v>
      </c>
    </row>
    <row r="92" spans="1:7" s="80" customFormat="1" ht="12.75" customHeight="1" x14ac:dyDescent="0.3">
      <c r="A92" s="435"/>
      <c r="B92" s="79" t="s">
        <v>66</v>
      </c>
      <c r="C92" s="68"/>
      <c r="D92" s="68"/>
      <c r="E92" s="68"/>
      <c r="F92" s="68"/>
      <c r="G92" s="68"/>
    </row>
    <row r="93" spans="1:7" s="58" customFormat="1" ht="12" x14ac:dyDescent="0.3">
      <c r="A93" s="435"/>
      <c r="B93" s="54" t="s">
        <v>63</v>
      </c>
      <c r="C93" s="55"/>
      <c r="D93" s="55"/>
      <c r="E93" s="55"/>
      <c r="F93" s="55"/>
      <c r="G93" s="55"/>
    </row>
    <row r="94" spans="1:7" s="94" customFormat="1" ht="12" hidden="1" x14ac:dyDescent="0.3">
      <c r="A94" s="435"/>
      <c r="B94" s="54" t="s">
        <v>145</v>
      </c>
      <c r="C94" s="107"/>
      <c r="D94" s="107"/>
      <c r="E94" s="107"/>
      <c r="F94" s="107"/>
      <c r="G94" s="107"/>
    </row>
    <row r="95" spans="1:7" s="153" customFormat="1" ht="12" x14ac:dyDescent="0.3">
      <c r="A95" s="435"/>
      <c r="B95" s="11" t="s">
        <v>583</v>
      </c>
      <c r="C95" s="19">
        <f>C96</f>
        <v>0</v>
      </c>
      <c r="D95" s="19">
        <f>D96</f>
        <v>0</v>
      </c>
      <c r="E95" s="19">
        <f t="shared" ref="E95:G95" si="34">E96</f>
        <v>0</v>
      </c>
      <c r="F95" s="19">
        <f t="shared" si="34"/>
        <v>0</v>
      </c>
      <c r="G95" s="19">
        <f t="shared" si="34"/>
        <v>0</v>
      </c>
    </row>
    <row r="96" spans="1:7" s="58" customFormat="1" ht="12" x14ac:dyDescent="0.3">
      <c r="A96" s="435"/>
      <c r="B96" s="54" t="s">
        <v>483</v>
      </c>
      <c r="C96" s="55"/>
      <c r="D96" s="55"/>
      <c r="E96" s="55"/>
      <c r="F96" s="55"/>
      <c r="G96" s="55"/>
    </row>
    <row r="97" spans="1:7" s="326" customFormat="1" ht="22.8" x14ac:dyDescent="0.3">
      <c r="A97" s="435"/>
      <c r="B97" s="324" t="s">
        <v>538</v>
      </c>
      <c r="C97" s="325">
        <f>C98</f>
        <v>0</v>
      </c>
      <c r="D97" s="325">
        <f>D98</f>
        <v>0</v>
      </c>
      <c r="E97" s="325">
        <f t="shared" ref="E97:G97" si="35">E98</f>
        <v>0</v>
      </c>
      <c r="F97" s="325">
        <f t="shared" si="35"/>
        <v>0</v>
      </c>
      <c r="G97" s="325">
        <f t="shared" si="35"/>
        <v>0</v>
      </c>
    </row>
    <row r="98" spans="1:7" s="58" customFormat="1" ht="12" x14ac:dyDescent="0.3">
      <c r="A98" s="435"/>
      <c r="B98" s="54" t="s">
        <v>483</v>
      </c>
      <c r="C98" s="55"/>
      <c r="D98" s="55"/>
      <c r="E98" s="55"/>
      <c r="F98" s="55"/>
      <c r="G98" s="55"/>
    </row>
    <row r="99" spans="1:7" s="323" customFormat="1" ht="13.2" x14ac:dyDescent="0.3">
      <c r="A99" s="435"/>
      <c r="B99" s="397" t="s">
        <v>525</v>
      </c>
      <c r="C99" s="334">
        <f>C101*C100</f>
        <v>0</v>
      </c>
      <c r="D99" s="334">
        <f>D101*D100</f>
        <v>0</v>
      </c>
      <c r="E99" s="334">
        <f>E101*E100</f>
        <v>0</v>
      </c>
      <c r="F99" s="334">
        <f>F101*F100</f>
        <v>0</v>
      </c>
      <c r="G99" s="334">
        <f>G101*G100</f>
        <v>0</v>
      </c>
    </row>
    <row r="100" spans="1:7" s="323" customFormat="1" ht="12" x14ac:dyDescent="0.3">
      <c r="A100" s="435"/>
      <c r="B100" s="79" t="s">
        <v>66</v>
      </c>
      <c r="C100" s="68"/>
      <c r="D100" s="68"/>
      <c r="E100" s="68"/>
      <c r="F100" s="68"/>
      <c r="G100" s="68"/>
    </row>
    <row r="101" spans="1:7" s="323" customFormat="1" ht="12" x14ac:dyDescent="0.3">
      <c r="A101" s="435"/>
      <c r="B101" s="54" t="s">
        <v>63</v>
      </c>
      <c r="C101" s="55"/>
      <c r="D101" s="55"/>
      <c r="E101" s="55"/>
      <c r="F101" s="55"/>
      <c r="G101" s="55"/>
    </row>
    <row r="102" spans="1:7" s="335" customFormat="1" ht="11.4" customHeight="1" x14ac:dyDescent="0.3">
      <c r="A102" s="435"/>
      <c r="B102" s="395"/>
      <c r="C102" s="396"/>
      <c r="D102" s="396"/>
      <c r="E102" s="396"/>
      <c r="F102" s="396"/>
      <c r="G102" s="396"/>
    </row>
    <row r="103" spans="1:7" s="335" customFormat="1" ht="12" x14ac:dyDescent="0.3">
      <c r="A103" s="435"/>
      <c r="B103" s="395"/>
      <c r="C103" s="396"/>
      <c r="D103" s="396"/>
      <c r="E103" s="396"/>
      <c r="F103" s="396"/>
      <c r="G103" s="396"/>
    </row>
    <row r="104" spans="1:7" s="335" customFormat="1" ht="12" x14ac:dyDescent="0.3">
      <c r="A104" s="435"/>
      <c r="B104" s="395"/>
      <c r="C104" s="396"/>
      <c r="D104" s="396"/>
      <c r="E104" s="396"/>
      <c r="F104" s="396"/>
      <c r="G104" s="396"/>
    </row>
    <row r="105" spans="1:7" s="335" customFormat="1" ht="12" x14ac:dyDescent="0.3">
      <c r="A105" s="435"/>
      <c r="B105" s="395"/>
      <c r="C105" s="396"/>
      <c r="D105" s="396"/>
      <c r="E105" s="396"/>
      <c r="F105" s="396"/>
      <c r="G105" s="396"/>
    </row>
    <row r="106" spans="1:7" s="335" customFormat="1" ht="12" x14ac:dyDescent="0.3">
      <c r="A106" s="435"/>
      <c r="B106" s="395"/>
      <c r="C106" s="396"/>
      <c r="D106" s="396"/>
      <c r="E106" s="396"/>
      <c r="F106" s="396"/>
      <c r="G106" s="396"/>
    </row>
    <row r="107" spans="1:7" s="335" customFormat="1" ht="12" x14ac:dyDescent="0.3">
      <c r="A107" s="435"/>
      <c r="B107" s="395"/>
      <c r="C107" s="396"/>
      <c r="D107" s="396"/>
      <c r="E107" s="396"/>
      <c r="F107" s="396"/>
      <c r="G107" s="396"/>
    </row>
    <row r="108" spans="1:7" s="335" customFormat="1" ht="12" x14ac:dyDescent="0.3">
      <c r="A108" s="435"/>
      <c r="B108" s="395"/>
      <c r="C108" s="396"/>
      <c r="D108" s="396"/>
      <c r="E108" s="396"/>
      <c r="F108" s="396"/>
      <c r="G108" s="396"/>
    </row>
    <row r="109" spans="1:7" s="335" customFormat="1" ht="12" x14ac:dyDescent="0.3">
      <c r="A109" s="435"/>
      <c r="B109" s="395"/>
      <c r="C109" s="396"/>
      <c r="D109" s="396"/>
      <c r="E109" s="396"/>
      <c r="F109" s="396"/>
      <c r="G109" s="396"/>
    </row>
    <row r="110" spans="1:7" s="154" customFormat="1" ht="11.4" x14ac:dyDescent="0.3">
      <c r="A110" s="436"/>
      <c r="B110" s="16" t="s">
        <v>88</v>
      </c>
      <c r="C110" s="17">
        <f>C6+C8+C12+C16+C20+C24+C28+C35+C38+C40+C43+C46+C48+C50+C52+C56+C60+C64+C69+C74+C79+C81+C83+C87+C91+C95+C97+C99+C102+C103+C104+C105+C106+C107+C108+C109</f>
        <v>0</v>
      </c>
      <c r="D110" s="17">
        <f>D6+D8+D12+D16+D20+D24+D28+D35+D38+D40+D43+D46+D48+D50+D52+D56+D60+D64+D69+D74+D79+D81+D83+D87+D91+D95+D97+D99+D102+D103+D104+D105+D106+D107+D108+D109</f>
        <v>0</v>
      </c>
      <c r="E110" s="17">
        <f t="shared" ref="E110:G110" si="36">E6+E8+E12+E16+E20+E24+E28+E35+E38+E40+E43+E46+E48+E50+E52+E56+E60+E64+E69+E74+E79+E81+E83+E87+E91+E95+E97+E99+E102+E103+E104+E105+E106+E107+E108+E109</f>
        <v>0</v>
      </c>
      <c r="F110" s="17">
        <f t="shared" si="36"/>
        <v>0</v>
      </c>
      <c r="G110" s="17">
        <f t="shared" si="36"/>
        <v>0</v>
      </c>
    </row>
    <row r="111" spans="1:7" s="31" customFormat="1" x14ac:dyDescent="0.3">
      <c r="A111" s="5"/>
      <c r="B111" s="33"/>
    </row>
    <row r="112" spans="1:7" s="98" customFormat="1" x14ac:dyDescent="0.3">
      <c r="A112" s="97"/>
      <c r="B112" s="97" t="s">
        <v>154</v>
      </c>
      <c r="C112" s="103">
        <f>C110/1000</f>
        <v>0</v>
      </c>
      <c r="D112" s="103">
        <f>D110/1000</f>
        <v>0</v>
      </c>
      <c r="E112" s="103">
        <f t="shared" ref="E112:G112" si="37">E110/1000</f>
        <v>0</v>
      </c>
      <c r="F112" s="103">
        <f t="shared" si="37"/>
        <v>0</v>
      </c>
      <c r="G112" s="103">
        <f t="shared" si="37"/>
        <v>0</v>
      </c>
    </row>
    <row r="113" spans="1:37" s="61" customFormat="1" ht="12" x14ac:dyDescent="0.3"/>
    <row r="114" spans="1:37" s="13" customFormat="1" ht="12" x14ac:dyDescent="0.3">
      <c r="A114" s="61"/>
    </row>
    <row r="115" spans="1:37" s="13" customFormat="1" ht="12" x14ac:dyDescent="0.3">
      <c r="A115" s="61"/>
      <c r="C115" s="30"/>
      <c r="D115" s="30"/>
      <c r="E115" s="30"/>
      <c r="F115" s="30"/>
      <c r="G115" s="30"/>
    </row>
    <row r="116" spans="1:37" s="389" customFormat="1" ht="23.4" customHeight="1" x14ac:dyDescent="0.3">
      <c r="A116" s="460" t="s">
        <v>553</v>
      </c>
      <c r="B116" s="460"/>
      <c r="C116" s="386"/>
      <c r="D116" s="386"/>
      <c r="E116" s="386"/>
      <c r="F116" s="387"/>
      <c r="G116" s="386"/>
      <c r="H116" s="386"/>
      <c r="I116" s="386"/>
      <c r="J116" s="386"/>
      <c r="K116" s="386"/>
      <c r="L116" s="386"/>
      <c r="M116" s="386"/>
      <c r="N116" s="386"/>
      <c r="O116" s="386"/>
      <c r="P116" s="386"/>
      <c r="Q116" s="386"/>
      <c r="R116" s="386"/>
      <c r="S116" s="386"/>
      <c r="T116" s="386"/>
      <c r="U116" s="386"/>
      <c r="V116" s="386"/>
      <c r="W116" s="386"/>
      <c r="X116" s="386"/>
      <c r="Y116" s="386"/>
      <c r="Z116" s="386"/>
      <c r="AA116" s="386"/>
      <c r="AB116" s="386"/>
      <c r="AC116" s="386"/>
      <c r="AD116" s="386"/>
      <c r="AE116" s="386"/>
      <c r="AF116" s="386"/>
      <c r="AG116" s="386"/>
      <c r="AH116" s="386"/>
      <c r="AI116" s="386"/>
      <c r="AJ116" s="388"/>
      <c r="AK116" s="388"/>
    </row>
    <row r="117" spans="1:37" s="389" customFormat="1" ht="21.6" customHeight="1" x14ac:dyDescent="0.3">
      <c r="A117" s="460" t="s">
        <v>130</v>
      </c>
      <c r="B117" s="460"/>
      <c r="C117" s="386"/>
      <c r="D117" s="386"/>
      <c r="E117" s="386"/>
      <c r="F117" s="387"/>
      <c r="G117" s="386"/>
      <c r="H117" s="386"/>
      <c r="I117" s="386"/>
      <c r="J117" s="386"/>
      <c r="K117" s="386"/>
      <c r="L117" s="386"/>
      <c r="M117" s="386"/>
      <c r="N117" s="386"/>
      <c r="O117" s="386"/>
      <c r="P117" s="386"/>
      <c r="Q117" s="386"/>
      <c r="R117" s="386"/>
      <c r="S117" s="386"/>
      <c r="T117" s="386"/>
      <c r="U117" s="386"/>
      <c r="V117" s="386"/>
      <c r="W117" s="386"/>
      <c r="X117" s="386"/>
      <c r="Y117" s="386"/>
      <c r="Z117" s="386"/>
      <c r="AA117" s="386"/>
      <c r="AB117" s="386"/>
      <c r="AC117" s="386"/>
      <c r="AD117" s="386"/>
      <c r="AE117" s="386"/>
      <c r="AF117" s="386"/>
      <c r="AG117" s="386"/>
      <c r="AH117" s="386"/>
      <c r="AI117" s="386"/>
      <c r="AJ117" s="388"/>
      <c r="AK117" s="388"/>
    </row>
    <row r="118" spans="1:37" s="31" customFormat="1" x14ac:dyDescent="0.3">
      <c r="A118" s="5"/>
    </row>
    <row r="119" spans="1:37" s="31" customFormat="1" x14ac:dyDescent="0.3">
      <c r="A119" s="5"/>
    </row>
    <row r="120" spans="1:37" s="31" customFormat="1" x14ac:dyDescent="0.3">
      <c r="A120" s="5"/>
    </row>
    <row r="121" spans="1:37" s="31" customFormat="1" x14ac:dyDescent="0.3">
      <c r="A121" s="5"/>
    </row>
    <row r="122" spans="1:37" s="31" customFormat="1" x14ac:dyDescent="0.3">
      <c r="A122" s="5"/>
    </row>
    <row r="123" spans="1:37" s="31" customFormat="1" x14ac:dyDescent="0.3">
      <c r="A123" s="5"/>
    </row>
    <row r="124" spans="1:37" s="31" customFormat="1" x14ac:dyDescent="0.3">
      <c r="A124" s="5"/>
    </row>
    <row r="125" spans="1:37" s="31" customFormat="1" x14ac:dyDescent="0.3">
      <c r="A125" s="5"/>
    </row>
    <row r="126" spans="1:37" s="31" customFormat="1" x14ac:dyDescent="0.3">
      <c r="A126" s="5"/>
    </row>
    <row r="127" spans="1:37" s="31" customFormat="1" x14ac:dyDescent="0.3">
      <c r="A127" s="5"/>
    </row>
    <row r="128" spans="1:37" s="31" customFormat="1" x14ac:dyDescent="0.3">
      <c r="A128" s="5"/>
    </row>
    <row r="129" spans="1:1" s="31" customFormat="1" x14ac:dyDescent="0.3">
      <c r="A129" s="5"/>
    </row>
    <row r="130" spans="1:1" s="31" customFormat="1" x14ac:dyDescent="0.3">
      <c r="A130" s="5"/>
    </row>
    <row r="131" spans="1:1" s="31" customFormat="1" x14ac:dyDescent="0.3">
      <c r="A131" s="5"/>
    </row>
    <row r="132" spans="1:1" s="31" customFormat="1" x14ac:dyDescent="0.3">
      <c r="A132" s="5"/>
    </row>
    <row r="133" spans="1:1" s="31" customFormat="1" x14ac:dyDescent="0.3">
      <c r="A133" s="5"/>
    </row>
    <row r="134" spans="1:1" s="31" customFormat="1" x14ac:dyDescent="0.3">
      <c r="A134" s="5"/>
    </row>
    <row r="135" spans="1:1" s="31" customFormat="1" x14ac:dyDescent="0.3">
      <c r="A135" s="5"/>
    </row>
    <row r="136" spans="1:1" s="31" customFormat="1" x14ac:dyDescent="0.3">
      <c r="A136" s="5"/>
    </row>
    <row r="137" spans="1:1" s="31" customFormat="1" x14ac:dyDescent="0.3">
      <c r="A137" s="5"/>
    </row>
    <row r="138" spans="1:1" s="31" customFormat="1" x14ac:dyDescent="0.3">
      <c r="A138" s="5"/>
    </row>
    <row r="139" spans="1:1" s="31" customFormat="1" x14ac:dyDescent="0.3">
      <c r="A139" s="5"/>
    </row>
    <row r="140" spans="1:1" s="31" customFormat="1" x14ac:dyDescent="0.3">
      <c r="A140" s="5"/>
    </row>
    <row r="141" spans="1:1" s="31" customFormat="1" x14ac:dyDescent="0.3">
      <c r="A141" s="5"/>
    </row>
    <row r="142" spans="1:1" s="31" customFormat="1" x14ac:dyDescent="0.3">
      <c r="A142" s="5"/>
    </row>
    <row r="143" spans="1:1" s="31" customFormat="1" x14ac:dyDescent="0.3">
      <c r="A143" s="5"/>
    </row>
    <row r="144" spans="1:1" s="31" customFormat="1" x14ac:dyDescent="0.3">
      <c r="A144" s="5"/>
    </row>
    <row r="145" spans="1:1" s="31" customFormat="1" x14ac:dyDescent="0.3">
      <c r="A145" s="5"/>
    </row>
    <row r="146" spans="1:1" s="31" customFormat="1" x14ac:dyDescent="0.3">
      <c r="A146" s="5"/>
    </row>
    <row r="147" spans="1:1" s="31" customFormat="1" x14ac:dyDescent="0.3">
      <c r="A147" s="5"/>
    </row>
    <row r="148" spans="1:1" s="31" customFormat="1" x14ac:dyDescent="0.3">
      <c r="A148" s="5"/>
    </row>
    <row r="149" spans="1:1" s="31" customFormat="1" x14ac:dyDescent="0.3">
      <c r="A149" s="5"/>
    </row>
    <row r="150" spans="1:1" s="31" customFormat="1" x14ac:dyDescent="0.3">
      <c r="A150" s="5"/>
    </row>
    <row r="151" spans="1:1" s="31" customFormat="1" x14ac:dyDescent="0.3">
      <c r="A151" s="5"/>
    </row>
    <row r="152" spans="1:1" s="31" customFormat="1" x14ac:dyDescent="0.3">
      <c r="A152" s="5"/>
    </row>
    <row r="153" spans="1:1" s="31" customFormat="1" x14ac:dyDescent="0.3">
      <c r="A153" s="5"/>
    </row>
    <row r="154" spans="1:1" s="31" customFormat="1" x14ac:dyDescent="0.3">
      <c r="A154" s="5"/>
    </row>
    <row r="155" spans="1:1" s="31" customFormat="1" x14ac:dyDescent="0.3">
      <c r="A155" s="5"/>
    </row>
    <row r="156" spans="1:1" s="31" customFormat="1" x14ac:dyDescent="0.3">
      <c r="A156" s="5"/>
    </row>
    <row r="157" spans="1:1" s="31" customFormat="1" x14ac:dyDescent="0.3">
      <c r="A157" s="5"/>
    </row>
    <row r="158" spans="1:1" s="31" customFormat="1" x14ac:dyDescent="0.3">
      <c r="A158" s="5"/>
    </row>
    <row r="159" spans="1:1" s="31" customFormat="1" x14ac:dyDescent="0.3">
      <c r="A159" s="5"/>
    </row>
    <row r="160" spans="1:1" s="31" customFormat="1" x14ac:dyDescent="0.3">
      <c r="A160" s="5"/>
    </row>
    <row r="161" spans="1:1" s="31" customFormat="1" x14ac:dyDescent="0.3">
      <c r="A161" s="5"/>
    </row>
    <row r="162" spans="1:1" s="31" customFormat="1" x14ac:dyDescent="0.3">
      <c r="A162" s="5"/>
    </row>
    <row r="163" spans="1:1" s="31" customFormat="1" x14ac:dyDescent="0.3">
      <c r="A163" s="5"/>
    </row>
    <row r="164" spans="1:1" s="31" customFormat="1" x14ac:dyDescent="0.3">
      <c r="A164" s="5"/>
    </row>
    <row r="165" spans="1:1" s="31" customFormat="1" x14ac:dyDescent="0.3">
      <c r="A165" s="5"/>
    </row>
  </sheetData>
  <mergeCells count="4">
    <mergeCell ref="A116:B116"/>
    <mergeCell ref="A117:B117"/>
    <mergeCell ref="A6:A110"/>
    <mergeCell ref="D4:G4"/>
  </mergeCells>
  <pageMargins left="0.39370078740157483" right="0.39370078740157483" top="0.39370078740157483" bottom="0.39370078740157483" header="0.31496062992125984" footer="0.31496062992125984"/>
  <pageSetup paperSize="9" scale="69" fitToHeight="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view="pageBreakPreview" zoomScale="90" zoomScaleSheet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5" sqref="A5:XFD5"/>
    </sheetView>
  </sheetViews>
  <sheetFormatPr defaultColWidth="9.109375" defaultRowHeight="13.8" x14ac:dyDescent="0.25"/>
  <cols>
    <col min="1" max="1" width="5" style="5" customWidth="1"/>
    <col min="2" max="2" width="31.6640625" style="1" customWidth="1"/>
    <col min="3" max="7" width="11.5546875" style="1" customWidth="1"/>
    <col min="8" max="8" width="11.5546875" style="1" hidden="1" customWidth="1"/>
    <col min="9" max="16384" width="9.109375" style="1"/>
  </cols>
  <sheetData>
    <row r="1" spans="1:8" x14ac:dyDescent="0.25">
      <c r="B1" s="4" t="s">
        <v>95</v>
      </c>
    </row>
    <row r="2" spans="1:8" ht="17.25" customHeight="1" x14ac:dyDescent="0.25">
      <c r="A2" s="319" t="str">
        <f>'ст.211,212,213'!A2:B2</f>
        <v>Средства местного бюджета на 2024-2027 годы</v>
      </c>
      <c r="B2" s="319"/>
    </row>
    <row r="3" spans="1:8" s="95" customFormat="1" ht="17.25" customHeight="1" x14ac:dyDescent="0.3">
      <c r="A3" s="90"/>
      <c r="B3" s="374"/>
      <c r="C3" s="77"/>
      <c r="D3" s="77"/>
      <c r="E3" s="77"/>
      <c r="F3" s="77"/>
      <c r="G3" s="87" t="s">
        <v>153</v>
      </c>
      <c r="H3" s="87"/>
    </row>
    <row r="4" spans="1:8" s="53" customFormat="1" ht="37.5" customHeight="1" x14ac:dyDescent="0.3">
      <c r="A4" s="175"/>
      <c r="B4" s="6"/>
      <c r="C4" s="412"/>
      <c r="D4" s="456" t="s">
        <v>554</v>
      </c>
      <c r="E4" s="457"/>
      <c r="F4" s="457"/>
      <c r="G4" s="458"/>
      <c r="H4" s="375" t="s">
        <v>192</v>
      </c>
    </row>
    <row r="5" spans="1:8" s="343" customFormat="1" ht="30" customHeight="1" x14ac:dyDescent="0.3">
      <c r="A5" s="341"/>
      <c r="B5" s="342"/>
      <c r="C5" s="430" t="str">
        <f>СВОД!B4</f>
        <v>2024 (ПФХД на 01.01.2024)</v>
      </c>
      <c r="D5" s="430" t="str">
        <f>СВОД!C4</f>
        <v>2024 ож.факт</v>
      </c>
      <c r="E5" s="430">
        <f>СВОД!D4</f>
        <v>2025</v>
      </c>
      <c r="F5" s="430">
        <f>СВОД!E4</f>
        <v>2026</v>
      </c>
      <c r="G5" s="430">
        <f>СВОД!F4</f>
        <v>2027</v>
      </c>
      <c r="H5" s="340">
        <v>2018</v>
      </c>
    </row>
    <row r="6" spans="1:8" s="151" customFormat="1" ht="25.2" customHeight="1" x14ac:dyDescent="0.3">
      <c r="A6" s="440">
        <v>290</v>
      </c>
      <c r="B6" s="18" t="s">
        <v>20</v>
      </c>
      <c r="C6" s="19"/>
      <c r="D6" s="19"/>
      <c r="E6" s="19"/>
      <c r="F6" s="19"/>
      <c r="G6" s="19"/>
      <c r="H6" s="19">
        <v>65000</v>
      </c>
    </row>
    <row r="7" spans="1:8" s="151" customFormat="1" ht="25.2" customHeight="1" x14ac:dyDescent="0.3">
      <c r="A7" s="440"/>
      <c r="B7" s="18" t="s">
        <v>21</v>
      </c>
      <c r="C7" s="19"/>
      <c r="D7" s="19"/>
      <c r="E7" s="19"/>
      <c r="F7" s="19"/>
      <c r="G7" s="19"/>
      <c r="H7" s="19">
        <v>70765</v>
      </c>
    </row>
    <row r="8" spans="1:8" s="151" customFormat="1" ht="25.2" customHeight="1" x14ac:dyDescent="0.3">
      <c r="A8" s="440"/>
      <c r="B8" s="18" t="s">
        <v>539</v>
      </c>
      <c r="C8" s="19"/>
      <c r="D8" s="19"/>
      <c r="E8" s="19"/>
      <c r="F8" s="19"/>
      <c r="G8" s="19"/>
      <c r="H8" s="166"/>
    </row>
    <row r="9" spans="1:8" s="403" customFormat="1" ht="18.600000000000001" customHeight="1" x14ac:dyDescent="0.3">
      <c r="A9" s="440"/>
      <c r="B9" s="401"/>
      <c r="C9" s="402"/>
      <c r="D9" s="402"/>
      <c r="E9" s="402"/>
      <c r="F9" s="402"/>
      <c r="G9" s="402"/>
    </row>
    <row r="10" spans="1:8" s="403" customFormat="1" ht="18.600000000000001" customHeight="1" x14ac:dyDescent="0.3">
      <c r="A10" s="440"/>
      <c r="B10" s="401"/>
      <c r="C10" s="402"/>
      <c r="D10" s="402"/>
      <c r="E10" s="402"/>
      <c r="F10" s="402"/>
      <c r="G10" s="402"/>
    </row>
    <row r="11" spans="1:8" s="403" customFormat="1" ht="18.600000000000001" customHeight="1" x14ac:dyDescent="0.3">
      <c r="A11" s="440"/>
      <c r="B11" s="401"/>
      <c r="C11" s="402"/>
      <c r="D11" s="402"/>
      <c r="E11" s="402"/>
      <c r="F11" s="402"/>
      <c r="G11" s="402"/>
    </row>
    <row r="12" spans="1:8" s="403" customFormat="1" ht="18.600000000000001" customHeight="1" x14ac:dyDescent="0.3">
      <c r="A12" s="440"/>
      <c r="B12" s="401"/>
      <c r="C12" s="402"/>
      <c r="D12" s="402"/>
      <c r="E12" s="402"/>
      <c r="F12" s="402"/>
      <c r="G12" s="402"/>
    </row>
    <row r="13" spans="1:8" s="403" customFormat="1" ht="18.600000000000001" customHeight="1" x14ac:dyDescent="0.3">
      <c r="A13" s="440"/>
      <c r="B13" s="401"/>
      <c r="C13" s="402"/>
      <c r="D13" s="402"/>
      <c r="E13" s="402"/>
      <c r="F13" s="402"/>
      <c r="G13" s="402"/>
    </row>
    <row r="14" spans="1:8" s="403" customFormat="1" ht="18.600000000000001" customHeight="1" x14ac:dyDescent="0.3">
      <c r="A14" s="440"/>
      <c r="B14" s="401"/>
      <c r="C14" s="402"/>
      <c r="D14" s="402"/>
      <c r="E14" s="402"/>
      <c r="F14" s="402"/>
      <c r="G14" s="402"/>
    </row>
    <row r="15" spans="1:8" s="403" customFormat="1" ht="18.600000000000001" customHeight="1" x14ac:dyDescent="0.3">
      <c r="A15" s="440"/>
      <c r="B15" s="401"/>
      <c r="C15" s="402"/>
      <c r="D15" s="402"/>
      <c r="E15" s="402"/>
      <c r="F15" s="402"/>
      <c r="G15" s="402"/>
    </row>
    <row r="16" spans="1:8" s="403" customFormat="1" ht="18.600000000000001" customHeight="1" x14ac:dyDescent="0.3">
      <c r="A16" s="440"/>
      <c r="B16" s="401"/>
      <c r="C16" s="402"/>
      <c r="D16" s="402"/>
      <c r="E16" s="402"/>
      <c r="F16" s="402"/>
      <c r="G16" s="402"/>
    </row>
    <row r="17" spans="1:8" s="403" customFormat="1" ht="18.600000000000001" customHeight="1" x14ac:dyDescent="0.3">
      <c r="A17" s="440"/>
      <c r="B17" s="401"/>
      <c r="C17" s="402"/>
      <c r="D17" s="402"/>
      <c r="E17" s="402"/>
      <c r="F17" s="402"/>
      <c r="G17" s="402"/>
    </row>
    <row r="18" spans="1:8" s="154" customFormat="1" ht="25.2" customHeight="1" x14ac:dyDescent="0.3">
      <c r="A18" s="440"/>
      <c r="B18" s="16" t="s">
        <v>87</v>
      </c>
      <c r="C18" s="17">
        <f>C6+C7+C8+C9+C10+C11+C12+C13+C14+C15+C16+C17</f>
        <v>0</v>
      </c>
      <c r="D18" s="17">
        <f>D6+D7+D8+D9+D10+D11+D12+D13+D14+D15+D16+D17</f>
        <v>0</v>
      </c>
      <c r="E18" s="17">
        <f t="shared" ref="E18:G18" si="0">E6+E7+E8+E9+E10+E11+E12+E13+E14+E15+E16+E17</f>
        <v>0</v>
      </c>
      <c r="F18" s="17">
        <f t="shared" si="0"/>
        <v>0</v>
      </c>
      <c r="G18" s="17">
        <f t="shared" si="0"/>
        <v>0</v>
      </c>
      <c r="H18" s="17">
        <f t="shared" ref="H18" si="1">H6+H7+H8</f>
        <v>135765</v>
      </c>
    </row>
    <row r="19" spans="1:8" s="31" customFormat="1" x14ac:dyDescent="0.3">
      <c r="A19" s="5"/>
    </row>
    <row r="20" spans="1:8" s="98" customFormat="1" ht="27" customHeight="1" x14ac:dyDescent="0.3">
      <c r="A20" s="97"/>
      <c r="B20" s="97" t="s">
        <v>154</v>
      </c>
      <c r="C20" s="103">
        <f>C18/1000</f>
        <v>0</v>
      </c>
      <c r="D20" s="103">
        <f>D18/1000</f>
        <v>0</v>
      </c>
      <c r="E20" s="103">
        <f>E18/1000</f>
        <v>0</v>
      </c>
      <c r="F20" s="103">
        <f>F18/1000</f>
        <v>0</v>
      </c>
      <c r="G20" s="103">
        <f>G18/1000</f>
        <v>0</v>
      </c>
      <c r="H20" s="103">
        <f t="shared" ref="H20" si="2">H18/1000</f>
        <v>135.76499999999999</v>
      </c>
    </row>
    <row r="21" spans="1:8" s="31" customFormat="1" x14ac:dyDescent="0.3">
      <c r="A21" s="5"/>
    </row>
    <row r="22" spans="1:8" s="48" customFormat="1" ht="10.199999999999999" x14ac:dyDescent="0.3">
      <c r="A22" s="167"/>
      <c r="C22" s="168"/>
      <c r="D22" s="168"/>
      <c r="E22" s="168"/>
      <c r="F22" s="168"/>
      <c r="G22" s="168"/>
      <c r="H22" s="169"/>
    </row>
    <row r="23" spans="1:8" s="31" customFormat="1" x14ac:dyDescent="0.3">
      <c r="A23" s="5"/>
    </row>
    <row r="24" spans="1:8" s="31" customFormat="1" x14ac:dyDescent="0.3">
      <c r="A24" s="5"/>
    </row>
    <row r="25" spans="1:8" s="31" customFormat="1" x14ac:dyDescent="0.3">
      <c r="A25" s="5"/>
    </row>
    <row r="26" spans="1:8" s="31" customFormat="1" x14ac:dyDescent="0.3">
      <c r="A26" s="5"/>
    </row>
    <row r="27" spans="1:8" s="31" customFormat="1" x14ac:dyDescent="0.3">
      <c r="A27" s="5"/>
    </row>
    <row r="28" spans="1:8" s="31" customFormat="1" x14ac:dyDescent="0.3">
      <c r="A28" s="5"/>
    </row>
    <row r="29" spans="1:8" s="31" customFormat="1" x14ac:dyDescent="0.3">
      <c r="A29" s="5"/>
    </row>
  </sheetData>
  <mergeCells count="2">
    <mergeCell ref="A6:A18"/>
    <mergeCell ref="D4:G4"/>
  </mergeCells>
  <pageMargins left="0.39370078740157483" right="0.39370078740157483" top="0.39370078740157483" bottom="0.39370078740157483" header="0.31496062992125984" footer="0.31496062992125984"/>
  <pageSetup paperSize="9" scale="7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7"/>
  <sheetViews>
    <sheetView view="pageBreakPreview" zoomScale="90" zoomScaleSheet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5" sqref="A5:XFD5"/>
    </sheetView>
  </sheetViews>
  <sheetFormatPr defaultColWidth="9.109375" defaultRowHeight="13.8" x14ac:dyDescent="0.25"/>
  <cols>
    <col min="1" max="1" width="5" style="5" customWidth="1"/>
    <col min="2" max="2" width="28" style="1" customWidth="1"/>
    <col min="3" max="7" width="15.109375" style="1" customWidth="1"/>
    <col min="8" max="16384" width="9.109375" style="1"/>
  </cols>
  <sheetData>
    <row r="1" spans="1:7" x14ac:dyDescent="0.25">
      <c r="B1" s="4" t="s">
        <v>95</v>
      </c>
    </row>
    <row r="2" spans="1:7" ht="17.25" customHeight="1" x14ac:dyDescent="0.25">
      <c r="A2" s="319" t="str">
        <f>'ст.211,212,213'!A2:B2</f>
        <v>Средства местного бюджета на 2024-2027 годы</v>
      </c>
      <c r="B2" s="319"/>
    </row>
    <row r="3" spans="1:7" s="95" customFormat="1" ht="17.25" customHeight="1" x14ac:dyDescent="0.3">
      <c r="A3" s="90"/>
      <c r="B3" s="374"/>
      <c r="C3" s="77"/>
      <c r="D3" s="77"/>
      <c r="E3" s="77"/>
      <c r="F3" s="77"/>
      <c r="G3" s="77"/>
    </row>
    <row r="4" spans="1:7" s="53" customFormat="1" ht="36" customHeight="1" x14ac:dyDescent="0.3">
      <c r="A4" s="175"/>
      <c r="B4" s="6"/>
      <c r="C4" s="412"/>
      <c r="D4" s="456" t="s">
        <v>554</v>
      </c>
      <c r="E4" s="457"/>
      <c r="F4" s="457"/>
      <c r="G4" s="458"/>
    </row>
    <row r="5" spans="1:7" s="343" customFormat="1" ht="25.2" customHeight="1" x14ac:dyDescent="0.3">
      <c r="A5" s="341"/>
      <c r="B5" s="342"/>
      <c r="C5" s="430" t="str">
        <f>СВОД!B4</f>
        <v>2024 (ПФХД на 01.01.2024)</v>
      </c>
      <c r="D5" s="430" t="str">
        <f>СВОД!C4</f>
        <v>2024 ож.факт</v>
      </c>
      <c r="E5" s="430">
        <f>СВОД!D4</f>
        <v>2025</v>
      </c>
      <c r="F5" s="430">
        <f>СВОД!E4</f>
        <v>2026</v>
      </c>
      <c r="G5" s="430">
        <f>СВОД!F4</f>
        <v>2027</v>
      </c>
    </row>
    <row r="6" spans="1:7" s="102" customFormat="1" ht="15" customHeight="1" x14ac:dyDescent="0.3">
      <c r="A6" s="434">
        <v>310</v>
      </c>
      <c r="B6" s="172"/>
      <c r="C6" s="106">
        <f>C7*C8</f>
        <v>0</v>
      </c>
      <c r="D6" s="106">
        <f>D7*D8</f>
        <v>0</v>
      </c>
      <c r="E6" s="106">
        <f>E7*E8</f>
        <v>0</v>
      </c>
      <c r="F6" s="106">
        <f>F7*F8</f>
        <v>0</v>
      </c>
      <c r="G6" s="106">
        <f>G7*G8</f>
        <v>0</v>
      </c>
    </row>
    <row r="7" spans="1:7" s="80" customFormat="1" ht="12.75" customHeight="1" x14ac:dyDescent="0.3">
      <c r="A7" s="435"/>
      <c r="B7" s="79" t="s">
        <v>66</v>
      </c>
      <c r="C7" s="68"/>
      <c r="D7" s="68"/>
      <c r="E7" s="68"/>
      <c r="F7" s="68"/>
      <c r="G7" s="68"/>
    </row>
    <row r="8" spans="1:7" s="58" customFormat="1" ht="12" x14ac:dyDescent="0.3">
      <c r="A8" s="435"/>
      <c r="B8" s="54" t="s">
        <v>188</v>
      </c>
      <c r="C8" s="55"/>
      <c r="D8" s="55"/>
      <c r="E8" s="55"/>
      <c r="F8" s="55"/>
      <c r="G8" s="55"/>
    </row>
    <row r="9" spans="1:7" s="100" customFormat="1" ht="15" customHeight="1" x14ac:dyDescent="0.3">
      <c r="A9" s="435"/>
      <c r="B9" s="171"/>
      <c r="C9" s="106">
        <f>C10*C11</f>
        <v>0</v>
      </c>
      <c r="D9" s="106">
        <f>D10*D11</f>
        <v>0</v>
      </c>
      <c r="E9" s="106">
        <f>E10*E11</f>
        <v>0</v>
      </c>
      <c r="F9" s="106">
        <f>F10*F11</f>
        <v>0</v>
      </c>
      <c r="G9" s="106">
        <f>G10*G11</f>
        <v>0</v>
      </c>
    </row>
    <row r="10" spans="1:7" s="80" customFormat="1" ht="12.75" customHeight="1" x14ac:dyDescent="0.3">
      <c r="A10" s="435"/>
      <c r="B10" s="79" t="s">
        <v>66</v>
      </c>
      <c r="C10" s="68"/>
      <c r="D10" s="68"/>
      <c r="E10" s="68"/>
      <c r="F10" s="68"/>
      <c r="G10" s="68"/>
    </row>
    <row r="11" spans="1:7" s="58" customFormat="1" ht="12" x14ac:dyDescent="0.3">
      <c r="A11" s="435"/>
      <c r="B11" s="54" t="s">
        <v>188</v>
      </c>
      <c r="C11" s="55"/>
      <c r="D11" s="55"/>
      <c r="E11" s="55"/>
      <c r="F11" s="55"/>
      <c r="G11" s="55"/>
    </row>
    <row r="12" spans="1:7" s="100" customFormat="1" ht="15" customHeight="1" x14ac:dyDescent="0.3">
      <c r="A12" s="435"/>
      <c r="B12" s="171"/>
      <c r="C12" s="106">
        <f>C13*C14</f>
        <v>0</v>
      </c>
      <c r="D12" s="106">
        <f>D13*D14</f>
        <v>0</v>
      </c>
      <c r="E12" s="106">
        <f>E13*E14</f>
        <v>0</v>
      </c>
      <c r="F12" s="106">
        <f>F13*F14</f>
        <v>0</v>
      </c>
      <c r="G12" s="106">
        <f>G13*G14</f>
        <v>0</v>
      </c>
    </row>
    <row r="13" spans="1:7" s="80" customFormat="1" ht="12.75" customHeight="1" x14ac:dyDescent="0.3">
      <c r="A13" s="435"/>
      <c r="B13" s="79" t="s">
        <v>66</v>
      </c>
      <c r="C13" s="68"/>
      <c r="D13" s="68"/>
      <c r="E13" s="68"/>
      <c r="F13" s="68"/>
      <c r="G13" s="68"/>
    </row>
    <row r="14" spans="1:7" s="58" customFormat="1" ht="12" x14ac:dyDescent="0.3">
      <c r="A14" s="435"/>
      <c r="B14" s="54" t="s">
        <v>188</v>
      </c>
      <c r="C14" s="55"/>
      <c r="D14" s="55"/>
      <c r="E14" s="55"/>
      <c r="F14" s="55"/>
      <c r="G14" s="55"/>
    </row>
    <row r="15" spans="1:7" s="102" customFormat="1" ht="18.600000000000001" customHeight="1" x14ac:dyDescent="0.3">
      <c r="A15" s="435"/>
      <c r="B15" s="172"/>
      <c r="C15" s="106">
        <f t="shared" ref="C15" si="0">C16*C17*(1+C18)</f>
        <v>0</v>
      </c>
      <c r="D15" s="106">
        <f t="shared" ref="D15:G15" si="1">D16*D17*(1+D18)</f>
        <v>0</v>
      </c>
      <c r="E15" s="106">
        <f t="shared" si="1"/>
        <v>0</v>
      </c>
      <c r="F15" s="106">
        <f t="shared" si="1"/>
        <v>0</v>
      </c>
      <c r="G15" s="106">
        <f t="shared" si="1"/>
        <v>0</v>
      </c>
    </row>
    <row r="16" spans="1:7" s="80" customFormat="1" ht="13.8" customHeight="1" x14ac:dyDescent="0.3">
      <c r="A16" s="435"/>
      <c r="B16" s="79" t="s">
        <v>66</v>
      </c>
      <c r="C16" s="68"/>
      <c r="D16" s="68"/>
      <c r="E16" s="68"/>
      <c r="F16" s="68"/>
      <c r="G16" s="68"/>
    </row>
    <row r="17" spans="1:7" s="58" customFormat="1" ht="12" x14ac:dyDescent="0.3">
      <c r="A17" s="435"/>
      <c r="B17" s="54" t="s">
        <v>188</v>
      </c>
      <c r="C17" s="55"/>
      <c r="D17" s="55"/>
      <c r="E17" s="55"/>
      <c r="F17" s="55"/>
      <c r="G17" s="55"/>
    </row>
    <row r="18" spans="1:7" s="94" customFormat="1" ht="12" hidden="1" x14ac:dyDescent="0.3">
      <c r="A18" s="435"/>
      <c r="B18" s="54" t="s">
        <v>145</v>
      </c>
      <c r="C18" s="107"/>
      <c r="D18" s="107"/>
      <c r="E18" s="107"/>
      <c r="F18" s="107"/>
      <c r="G18" s="107"/>
    </row>
    <row r="19" spans="1:7" s="100" customFormat="1" ht="15" customHeight="1" x14ac:dyDescent="0.3">
      <c r="A19" s="435"/>
      <c r="B19" s="171"/>
      <c r="C19" s="106">
        <f t="shared" ref="C19" si="2">C20*C21*(1+C22)</f>
        <v>0</v>
      </c>
      <c r="D19" s="106">
        <f t="shared" ref="D19:G19" si="3">D20*D21*(1+D22)</f>
        <v>0</v>
      </c>
      <c r="E19" s="106">
        <f t="shared" si="3"/>
        <v>0</v>
      </c>
      <c r="F19" s="106">
        <f t="shared" si="3"/>
        <v>0</v>
      </c>
      <c r="G19" s="106">
        <f t="shared" si="3"/>
        <v>0</v>
      </c>
    </row>
    <row r="20" spans="1:7" s="80" customFormat="1" ht="12.75" customHeight="1" x14ac:dyDescent="0.3">
      <c r="A20" s="435"/>
      <c r="B20" s="79" t="s">
        <v>66</v>
      </c>
      <c r="C20" s="68"/>
      <c r="D20" s="68"/>
      <c r="E20" s="68"/>
      <c r="F20" s="68"/>
      <c r="G20" s="68"/>
    </row>
    <row r="21" spans="1:7" s="58" customFormat="1" ht="12" x14ac:dyDescent="0.3">
      <c r="A21" s="435"/>
      <c r="B21" s="54" t="s">
        <v>188</v>
      </c>
      <c r="C21" s="55"/>
      <c r="D21" s="55"/>
      <c r="E21" s="55"/>
      <c r="F21" s="55"/>
      <c r="G21" s="55"/>
    </row>
    <row r="22" spans="1:7" s="100" customFormat="1" ht="15" customHeight="1" x14ac:dyDescent="0.3">
      <c r="A22" s="435"/>
      <c r="B22" s="171"/>
      <c r="C22" s="106">
        <f t="shared" ref="C22" si="4">C23*C24*(1+C25)</f>
        <v>0</v>
      </c>
      <c r="D22" s="106">
        <f t="shared" ref="D22:G22" si="5">D23*D24*(1+D25)</f>
        <v>0</v>
      </c>
      <c r="E22" s="106">
        <f t="shared" si="5"/>
        <v>0</v>
      </c>
      <c r="F22" s="106">
        <f t="shared" si="5"/>
        <v>0</v>
      </c>
      <c r="G22" s="106">
        <f t="shared" si="5"/>
        <v>0</v>
      </c>
    </row>
    <row r="23" spans="1:7" s="80" customFormat="1" ht="12.75" customHeight="1" x14ac:dyDescent="0.3">
      <c r="A23" s="435"/>
      <c r="B23" s="79" t="s">
        <v>66</v>
      </c>
      <c r="C23" s="68"/>
      <c r="D23" s="68"/>
      <c r="E23" s="68"/>
      <c r="F23" s="68"/>
      <c r="G23" s="68"/>
    </row>
    <row r="24" spans="1:7" s="58" customFormat="1" ht="12" x14ac:dyDescent="0.3">
      <c r="A24" s="435"/>
      <c r="B24" s="54" t="s">
        <v>188</v>
      </c>
      <c r="C24" s="55"/>
      <c r="D24" s="55"/>
      <c r="E24" s="55"/>
      <c r="F24" s="55"/>
      <c r="G24" s="55"/>
    </row>
    <row r="25" spans="1:7" s="94" customFormat="1" ht="12" hidden="1" x14ac:dyDescent="0.3">
      <c r="A25" s="435"/>
      <c r="B25" s="54" t="s">
        <v>145</v>
      </c>
      <c r="C25" s="107"/>
      <c r="D25" s="107"/>
      <c r="E25" s="107"/>
      <c r="F25" s="107"/>
      <c r="G25" s="107"/>
    </row>
    <row r="26" spans="1:7" s="100" customFormat="1" ht="15" customHeight="1" x14ac:dyDescent="0.3">
      <c r="A26" s="435"/>
      <c r="B26" s="171"/>
      <c r="C26" s="106">
        <f t="shared" ref="C26" si="6">C27*C28*(1+C32)</f>
        <v>0</v>
      </c>
      <c r="D26" s="106">
        <f t="shared" ref="D26:G26" si="7">D27*D28*(1+D32)</f>
        <v>0</v>
      </c>
      <c r="E26" s="106">
        <f t="shared" si="7"/>
        <v>0</v>
      </c>
      <c r="F26" s="106">
        <f t="shared" si="7"/>
        <v>0</v>
      </c>
      <c r="G26" s="106">
        <f t="shared" si="7"/>
        <v>0</v>
      </c>
    </row>
    <row r="27" spans="1:7" s="80" customFormat="1" ht="12.75" customHeight="1" x14ac:dyDescent="0.3">
      <c r="A27" s="435"/>
      <c r="B27" s="79" t="s">
        <v>66</v>
      </c>
      <c r="C27" s="68"/>
      <c r="D27" s="68"/>
      <c r="E27" s="68"/>
      <c r="F27" s="68"/>
      <c r="G27" s="68"/>
    </row>
    <row r="28" spans="1:7" s="58" customFormat="1" ht="12" x14ac:dyDescent="0.3">
      <c r="A28" s="435"/>
      <c r="B28" s="54" t="s">
        <v>188</v>
      </c>
      <c r="C28" s="55"/>
      <c r="D28" s="55"/>
      <c r="E28" s="55"/>
      <c r="F28" s="55"/>
      <c r="G28" s="55"/>
    </row>
    <row r="29" spans="1:7" s="100" customFormat="1" ht="15" customHeight="1" x14ac:dyDescent="0.3">
      <c r="A29" s="435"/>
      <c r="B29" s="171"/>
      <c r="C29" s="106">
        <f t="shared" ref="C29" si="8">C30*C31*(1+C35)</f>
        <v>0</v>
      </c>
      <c r="D29" s="106">
        <f t="shared" ref="D29:G29" si="9">D30*D31*(1+D35)</f>
        <v>0</v>
      </c>
      <c r="E29" s="106">
        <f t="shared" si="9"/>
        <v>0</v>
      </c>
      <c r="F29" s="106">
        <f t="shared" si="9"/>
        <v>0</v>
      </c>
      <c r="G29" s="106">
        <f t="shared" si="9"/>
        <v>0</v>
      </c>
    </row>
    <row r="30" spans="1:7" s="80" customFormat="1" ht="12.75" customHeight="1" x14ac:dyDescent="0.3">
      <c r="A30" s="435"/>
      <c r="B30" s="79" t="s">
        <v>66</v>
      </c>
      <c r="C30" s="68"/>
      <c r="D30" s="68"/>
      <c r="E30" s="68"/>
      <c r="F30" s="68"/>
      <c r="G30" s="68"/>
    </row>
    <row r="31" spans="1:7" s="58" customFormat="1" ht="12" x14ac:dyDescent="0.3">
      <c r="A31" s="435"/>
      <c r="B31" s="54" t="s">
        <v>188</v>
      </c>
      <c r="C31" s="55"/>
      <c r="D31" s="55"/>
      <c r="E31" s="55"/>
      <c r="F31" s="55"/>
      <c r="G31" s="55"/>
    </row>
    <row r="32" spans="1:7" s="100" customFormat="1" ht="15" customHeight="1" x14ac:dyDescent="0.3">
      <c r="A32" s="435"/>
      <c r="B32" s="171"/>
      <c r="C32" s="106">
        <f t="shared" ref="C32" si="10">C33*C34*(1+C35)</f>
        <v>0</v>
      </c>
      <c r="D32" s="106">
        <f t="shared" ref="D32:G32" si="11">D33*D34*(1+D35)</f>
        <v>0</v>
      </c>
      <c r="E32" s="106">
        <f t="shared" si="11"/>
        <v>0</v>
      </c>
      <c r="F32" s="106">
        <f t="shared" si="11"/>
        <v>0</v>
      </c>
      <c r="G32" s="106">
        <f t="shared" si="11"/>
        <v>0</v>
      </c>
    </row>
    <row r="33" spans="1:7" s="80" customFormat="1" ht="12.75" customHeight="1" x14ac:dyDescent="0.3">
      <c r="A33" s="435"/>
      <c r="B33" s="79" t="s">
        <v>66</v>
      </c>
      <c r="C33" s="68"/>
      <c r="D33" s="68"/>
      <c r="E33" s="68"/>
      <c r="F33" s="68"/>
      <c r="G33" s="68"/>
    </row>
    <row r="34" spans="1:7" s="58" customFormat="1" ht="12" x14ac:dyDescent="0.3">
      <c r="A34" s="435"/>
      <c r="B34" s="54" t="s">
        <v>188</v>
      </c>
      <c r="C34" s="55"/>
      <c r="D34" s="55"/>
      <c r="E34" s="55"/>
      <c r="F34" s="55"/>
      <c r="G34" s="55"/>
    </row>
    <row r="35" spans="1:7" s="113" customFormat="1" ht="18.600000000000001" customHeight="1" x14ac:dyDescent="0.3">
      <c r="A35" s="435"/>
      <c r="B35" s="393"/>
      <c r="C35" s="398"/>
      <c r="D35" s="398"/>
      <c r="E35" s="398"/>
      <c r="F35" s="398"/>
      <c r="G35" s="398"/>
    </row>
    <row r="36" spans="1:7" s="399" customFormat="1" ht="13.8" customHeight="1" x14ac:dyDescent="0.3">
      <c r="A36" s="435"/>
      <c r="B36" s="112"/>
      <c r="C36" s="50"/>
      <c r="D36" s="50"/>
      <c r="E36" s="50"/>
      <c r="F36" s="50"/>
      <c r="G36" s="50"/>
    </row>
    <row r="37" spans="1:7" s="399" customFormat="1" ht="12" x14ac:dyDescent="0.3">
      <c r="A37" s="435"/>
      <c r="B37" s="112"/>
      <c r="C37" s="50"/>
      <c r="D37" s="50"/>
      <c r="E37" s="50"/>
      <c r="F37" s="50"/>
      <c r="G37" s="50"/>
    </row>
    <row r="38" spans="1:7" s="399" customFormat="1" ht="12" x14ac:dyDescent="0.3">
      <c r="A38" s="435"/>
      <c r="B38" s="112"/>
      <c r="C38" s="50"/>
      <c r="D38" s="50"/>
      <c r="E38" s="50"/>
      <c r="F38" s="50"/>
      <c r="G38" s="50"/>
    </row>
    <row r="39" spans="1:7" s="154" customFormat="1" ht="21.6" customHeight="1" x14ac:dyDescent="0.3">
      <c r="A39" s="436"/>
      <c r="B39" s="16" t="s">
        <v>127</v>
      </c>
      <c r="C39" s="17">
        <f t="shared" ref="C39:D39" si="12">C6+C9+C12+C35+C36+C37+C38</f>
        <v>0</v>
      </c>
      <c r="D39" s="17">
        <f t="shared" si="12"/>
        <v>0</v>
      </c>
      <c r="E39" s="17">
        <f>E6+E9+E12+E35+E36+E37+E38</f>
        <v>0</v>
      </c>
      <c r="F39" s="17">
        <f>F6+F9+F12+F35+F36+F37+F38</f>
        <v>0</v>
      </c>
      <c r="G39" s="17">
        <f t="shared" ref="G39" si="13">G6+G9+G12+G35+G36+G37+G38</f>
        <v>0</v>
      </c>
    </row>
    <row r="40" spans="1:7" s="31" customFormat="1" ht="12.75" customHeight="1" x14ac:dyDescent="0.3">
      <c r="A40" s="5"/>
    </row>
    <row r="41" spans="1:7" s="98" customFormat="1" ht="25.2" customHeight="1" x14ac:dyDescent="0.3">
      <c r="A41" s="97"/>
      <c r="B41" s="97" t="s">
        <v>154</v>
      </c>
      <c r="C41" s="103">
        <f>C39/1000</f>
        <v>0</v>
      </c>
      <c r="D41" s="103">
        <f>D39/1000</f>
        <v>0</v>
      </c>
      <c r="E41" s="103">
        <f>E39/1000</f>
        <v>0</v>
      </c>
      <c r="F41" s="103">
        <f>F39/1000</f>
        <v>0</v>
      </c>
      <c r="G41" s="103">
        <f>G39/1000</f>
        <v>0</v>
      </c>
    </row>
    <row r="42" spans="1:7" s="31" customFormat="1" ht="15" customHeight="1" x14ac:dyDescent="0.3">
      <c r="A42" s="5"/>
    </row>
    <row r="43" spans="1:7" s="159" customFormat="1" ht="12.75" customHeight="1" x14ac:dyDescent="0.3">
      <c r="A43" s="162"/>
    </row>
    <row r="44" spans="1:7" s="31" customFormat="1" x14ac:dyDescent="0.3">
      <c r="A44" s="5"/>
    </row>
    <row r="45" spans="1:7" s="31" customFormat="1" x14ac:dyDescent="0.3">
      <c r="A45" s="5"/>
    </row>
    <row r="46" spans="1:7" s="31" customFormat="1" ht="15" customHeight="1" x14ac:dyDescent="0.3">
      <c r="A46" s="5"/>
    </row>
    <row r="47" spans="1:7" s="31" customFormat="1" ht="12.75" customHeight="1" x14ac:dyDescent="0.3">
      <c r="A47" s="5"/>
    </row>
    <row r="48" spans="1:7" s="31" customFormat="1" x14ac:dyDescent="0.3">
      <c r="A48" s="5"/>
    </row>
    <row r="49" spans="1:1" s="31" customFormat="1" ht="15" customHeight="1" x14ac:dyDescent="0.3">
      <c r="A49" s="5"/>
    </row>
    <row r="50" spans="1:1" s="31" customFormat="1" ht="12.75" customHeight="1" x14ac:dyDescent="0.3">
      <c r="A50" s="5"/>
    </row>
    <row r="52" spans="1:1" ht="15" customHeight="1" x14ac:dyDescent="0.25"/>
    <row r="53" spans="1:1" ht="12.75" customHeight="1" x14ac:dyDescent="0.25"/>
    <row r="57" spans="1:1" ht="20.25" customHeight="1" x14ac:dyDescent="0.25"/>
    <row r="76" ht="15.75" customHeight="1" x14ac:dyDescent="0.25"/>
    <row r="83" ht="30.75" customHeight="1" x14ac:dyDescent="0.25"/>
    <row r="98" ht="18.75" customHeight="1" x14ac:dyDescent="0.25"/>
    <row r="117" ht="18" customHeight="1" x14ac:dyDescent="0.25"/>
    <row r="132" ht="29.25" customHeight="1" x14ac:dyDescent="0.25"/>
    <row r="136" ht="21" customHeight="1" x14ac:dyDescent="0.25"/>
    <row r="137" ht="27" customHeight="1" x14ac:dyDescent="0.25"/>
    <row r="178" ht="27.75" customHeight="1" x14ac:dyDescent="0.25"/>
    <row r="182" ht="26.25" customHeight="1" x14ac:dyDescent="0.25"/>
    <row r="186" ht="21.75" customHeight="1" x14ac:dyDescent="0.25"/>
    <row r="188" ht="18.75" customHeight="1" x14ac:dyDescent="0.25"/>
    <row r="199" ht="15" customHeight="1" x14ac:dyDescent="0.25"/>
    <row r="213" ht="5.25" customHeight="1" x14ac:dyDescent="0.25"/>
    <row r="214" ht="5.25" customHeight="1" x14ac:dyDescent="0.25"/>
    <row r="215" ht="5.25" customHeight="1" x14ac:dyDescent="0.25"/>
    <row r="216" ht="5.25" customHeight="1" x14ac:dyDescent="0.25"/>
    <row r="217" ht="5.25" customHeight="1" x14ac:dyDescent="0.25"/>
    <row r="218" ht="5.25" customHeight="1" x14ac:dyDescent="0.25"/>
    <row r="220" ht="5.25" customHeight="1" x14ac:dyDescent="0.25"/>
    <row r="221" ht="5.25" customHeight="1" x14ac:dyDescent="0.25"/>
    <row r="222" ht="5.25" customHeight="1" x14ac:dyDescent="0.25"/>
    <row r="223" ht="5.25" customHeight="1" x14ac:dyDescent="0.25"/>
    <row r="224" ht="5.25" customHeight="1" x14ac:dyDescent="0.25"/>
    <row r="225" ht="5.25" customHeight="1" x14ac:dyDescent="0.25"/>
    <row r="227" ht="5.25" customHeight="1" x14ac:dyDescent="0.25"/>
    <row r="228" ht="5.25" customHeight="1" x14ac:dyDescent="0.25"/>
    <row r="229" ht="5.25" customHeight="1" x14ac:dyDescent="0.25"/>
    <row r="230" ht="5.25" customHeight="1" x14ac:dyDescent="0.25"/>
    <row r="231" ht="5.25" customHeight="1" x14ac:dyDescent="0.25"/>
    <row r="232" ht="5.25" customHeight="1" x14ac:dyDescent="0.25"/>
    <row r="246" ht="18.75" customHeight="1" x14ac:dyDescent="0.25"/>
    <row r="247" ht="26.25" customHeight="1" x14ac:dyDescent="0.25"/>
  </sheetData>
  <mergeCells count="2">
    <mergeCell ref="A6:A39"/>
    <mergeCell ref="D4:G4"/>
  </mergeCells>
  <pageMargins left="0.39370078740157483" right="0.39370078740157483" top="0.39370078740157483" bottom="0.39370078740157483" header="0.31496062992125984" footer="0.31496062992125984"/>
  <pageSetup paperSize="9"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9"/>
  <sheetViews>
    <sheetView tabSelected="1" view="pageBreakPreview" zoomScale="90" zoomScaleSheetLayoutView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:XFD5"/>
    </sheetView>
  </sheetViews>
  <sheetFormatPr defaultColWidth="9.109375" defaultRowHeight="13.8" x14ac:dyDescent="0.25"/>
  <cols>
    <col min="1" max="1" width="5" style="5" customWidth="1"/>
    <col min="2" max="2" width="29" style="1" customWidth="1"/>
    <col min="3" max="7" width="14.88671875" style="1" customWidth="1"/>
    <col min="8" max="8" width="37.77734375" style="1" customWidth="1"/>
    <col min="9" max="16384" width="9.109375" style="1"/>
  </cols>
  <sheetData>
    <row r="1" spans="1:8" x14ac:dyDescent="0.25">
      <c r="B1" s="4" t="s">
        <v>95</v>
      </c>
    </row>
    <row r="2" spans="1:8" ht="17.25" customHeight="1" x14ac:dyDescent="0.25">
      <c r="A2" s="319" t="str">
        <f>'ст.211,212,213'!A2:B2</f>
        <v>Средства местного бюджета на 2024-2027 годы</v>
      </c>
      <c r="B2" s="319"/>
    </row>
    <row r="3" spans="1:8" s="95" customFormat="1" ht="17.25" customHeight="1" x14ac:dyDescent="0.3">
      <c r="A3" s="90"/>
      <c r="B3" s="374"/>
      <c r="C3" s="77"/>
      <c r="D3" s="77"/>
      <c r="E3" s="77"/>
      <c r="F3" s="77"/>
      <c r="G3" s="77"/>
    </row>
    <row r="4" spans="1:8" s="53" customFormat="1" ht="36" customHeight="1" x14ac:dyDescent="0.3">
      <c r="A4" s="175"/>
      <c r="B4" s="6"/>
      <c r="C4" s="412"/>
      <c r="D4" s="456" t="s">
        <v>554</v>
      </c>
      <c r="E4" s="457"/>
      <c r="F4" s="457"/>
      <c r="G4" s="458"/>
    </row>
    <row r="5" spans="1:8" s="343" customFormat="1" ht="25.8" customHeight="1" x14ac:dyDescent="0.3">
      <c r="A5" s="341"/>
      <c r="B5" s="342"/>
      <c r="C5" s="430" t="str">
        <f>СВОД!B4</f>
        <v>2024 (ПФХД на 01.01.2024)</v>
      </c>
      <c r="D5" s="430" t="str">
        <f>СВОД!C4</f>
        <v>2024 ож.факт</v>
      </c>
      <c r="E5" s="430">
        <f>СВОД!D4</f>
        <v>2025</v>
      </c>
      <c r="F5" s="430">
        <f>СВОД!E4</f>
        <v>2026</v>
      </c>
      <c r="G5" s="430">
        <f>СВОД!F4</f>
        <v>2027</v>
      </c>
    </row>
    <row r="6" spans="1:8" s="94" customFormat="1" ht="12" hidden="1" x14ac:dyDescent="0.3">
      <c r="A6" s="435"/>
      <c r="B6" s="54"/>
      <c r="C6" s="174"/>
      <c r="D6" s="174"/>
      <c r="E6" s="174"/>
      <c r="F6" s="174"/>
      <c r="G6" s="174"/>
    </row>
    <row r="7" spans="1:8" s="415" customFormat="1" ht="17.25" customHeight="1" x14ac:dyDescent="0.3">
      <c r="A7" s="435"/>
      <c r="B7" s="423" t="s">
        <v>115</v>
      </c>
      <c r="C7" s="19">
        <f>(C8*C10*C11*(1+C12))*(1-C9)</f>
        <v>0</v>
      </c>
      <c r="D7" s="19">
        <f>(D8*D10*D11*(1+D12))*(1-D9)</f>
        <v>0</v>
      </c>
      <c r="E7" s="19">
        <f t="shared" ref="E7:G7" si="0">(E8*E10*E11*(1+E12))*(1-E9)</f>
        <v>0</v>
      </c>
      <c r="F7" s="19">
        <f t="shared" si="0"/>
        <v>0</v>
      </c>
      <c r="G7" s="19">
        <f t="shared" si="0"/>
        <v>0</v>
      </c>
    </row>
    <row r="8" spans="1:8" s="80" customFormat="1" ht="16.5" customHeight="1" x14ac:dyDescent="0.3">
      <c r="A8" s="435"/>
      <c r="B8" s="303" t="s">
        <v>75</v>
      </c>
      <c r="C8" s="143"/>
      <c r="D8" s="143"/>
      <c r="E8" s="143"/>
      <c r="F8" s="143"/>
      <c r="G8" s="143"/>
    </row>
    <row r="9" spans="1:8" s="80" customFormat="1" ht="16.5" customHeight="1" x14ac:dyDescent="0.3">
      <c r="A9" s="435"/>
      <c r="B9" s="303" t="s">
        <v>584</v>
      </c>
      <c r="C9" s="400">
        <v>0.1</v>
      </c>
      <c r="D9" s="414">
        <v>0.1</v>
      </c>
      <c r="E9" s="414">
        <v>0.1</v>
      </c>
      <c r="F9" s="414">
        <v>0.1</v>
      </c>
      <c r="G9" s="414">
        <v>0.1</v>
      </c>
      <c r="H9" s="413" t="s">
        <v>591</v>
      </c>
    </row>
    <row r="10" spans="1:8" s="58" customFormat="1" ht="16.5" customHeight="1" x14ac:dyDescent="0.3">
      <c r="A10" s="435"/>
      <c r="B10" s="304" t="s">
        <v>76</v>
      </c>
      <c r="C10" s="173"/>
      <c r="D10" s="173"/>
      <c r="E10" s="173"/>
      <c r="F10" s="173"/>
      <c r="G10" s="173"/>
    </row>
    <row r="11" spans="1:8" s="58" customFormat="1" ht="16.5" customHeight="1" x14ac:dyDescent="0.3">
      <c r="A11" s="435"/>
      <c r="B11" s="304" t="s">
        <v>77</v>
      </c>
      <c r="C11" s="144"/>
      <c r="D11" s="144"/>
      <c r="E11" s="144"/>
      <c r="F11" s="144"/>
      <c r="G11" s="144"/>
    </row>
    <row r="12" spans="1:8" s="94" customFormat="1" ht="12" hidden="1" x14ac:dyDescent="0.3">
      <c r="A12" s="435"/>
      <c r="B12" s="54"/>
      <c r="C12" s="174"/>
      <c r="D12" s="174"/>
      <c r="E12" s="174"/>
      <c r="F12" s="174"/>
      <c r="G12" s="174"/>
    </row>
    <row r="13" spans="1:8" s="415" customFormat="1" ht="17.25" customHeight="1" x14ac:dyDescent="0.3">
      <c r="A13" s="435"/>
      <c r="B13" s="423" t="s">
        <v>484</v>
      </c>
      <c r="C13" s="19">
        <f>(C14*C16*C17)*(1-C15)</f>
        <v>0</v>
      </c>
      <c r="D13" s="19">
        <f>(D14*D16*D17)*(1-D15)</f>
        <v>0</v>
      </c>
      <c r="E13" s="19">
        <f t="shared" ref="E13:G13" si="1">(E14*E16*E17)*(1-E15)</f>
        <v>0</v>
      </c>
      <c r="F13" s="19">
        <f t="shared" si="1"/>
        <v>0</v>
      </c>
      <c r="G13" s="19">
        <f t="shared" si="1"/>
        <v>0</v>
      </c>
    </row>
    <row r="14" spans="1:8" s="80" customFormat="1" ht="16.5" customHeight="1" x14ac:dyDescent="0.3">
      <c r="A14" s="435"/>
      <c r="B14" s="303" t="s">
        <v>75</v>
      </c>
      <c r="C14" s="143"/>
      <c r="D14" s="143"/>
      <c r="E14" s="143"/>
      <c r="F14" s="143"/>
      <c r="G14" s="143"/>
    </row>
    <row r="15" spans="1:8" s="80" customFormat="1" ht="16.5" customHeight="1" x14ac:dyDescent="0.3">
      <c r="A15" s="435"/>
      <c r="B15" s="303" t="s">
        <v>584</v>
      </c>
      <c r="C15" s="400">
        <v>0.1</v>
      </c>
      <c r="D15" s="414">
        <v>0.1</v>
      </c>
      <c r="E15" s="414">
        <v>0.1</v>
      </c>
      <c r="F15" s="414">
        <v>0.1</v>
      </c>
      <c r="G15" s="414">
        <v>0.1</v>
      </c>
      <c r="H15" s="413" t="s">
        <v>592</v>
      </c>
    </row>
    <row r="16" spans="1:8" s="58" customFormat="1" ht="16.5" customHeight="1" x14ac:dyDescent="0.3">
      <c r="A16" s="435"/>
      <c r="B16" s="304" t="s">
        <v>76</v>
      </c>
      <c r="C16" s="173"/>
      <c r="D16" s="173"/>
      <c r="E16" s="173"/>
      <c r="F16" s="173"/>
      <c r="G16" s="173"/>
    </row>
    <row r="17" spans="1:8" s="58" customFormat="1" ht="16.5" customHeight="1" x14ac:dyDescent="0.3">
      <c r="A17" s="435"/>
      <c r="B17" s="304" t="s">
        <v>77</v>
      </c>
      <c r="C17" s="144"/>
      <c r="D17" s="144"/>
      <c r="E17" s="144"/>
      <c r="F17" s="144"/>
      <c r="G17" s="144"/>
    </row>
    <row r="18" spans="1:8" s="153" customFormat="1" ht="27" customHeight="1" x14ac:dyDescent="0.3">
      <c r="A18" s="435"/>
      <c r="B18" s="423" t="s">
        <v>545</v>
      </c>
      <c r="C18" s="19">
        <f>C19*C20*C21*(1+C22)</f>
        <v>0</v>
      </c>
      <c r="D18" s="19">
        <f>D19*D20*D21*(1+D22)</f>
        <v>0</v>
      </c>
      <c r="E18" s="19">
        <f>E19*E20*E21*(1+E22)</f>
        <v>0</v>
      </c>
      <c r="F18" s="19">
        <f>F19*F20*F21*(1+F22)</f>
        <v>0</v>
      </c>
      <c r="G18" s="19">
        <f>G19*G20*G21*(1+G22)</f>
        <v>0</v>
      </c>
    </row>
    <row r="19" spans="1:8" s="80" customFormat="1" ht="16.5" customHeight="1" x14ac:dyDescent="0.3">
      <c r="A19" s="435"/>
      <c r="B19" s="303" t="s">
        <v>75</v>
      </c>
      <c r="C19" s="143"/>
      <c r="D19" s="143"/>
      <c r="E19" s="143"/>
      <c r="F19" s="143"/>
      <c r="G19" s="143"/>
    </row>
    <row r="20" spans="1:8" s="58" customFormat="1" ht="16.5" customHeight="1" x14ac:dyDescent="0.3">
      <c r="A20" s="435"/>
      <c r="B20" s="304" t="s">
        <v>76</v>
      </c>
      <c r="C20" s="173"/>
      <c r="D20" s="173"/>
      <c r="E20" s="173"/>
      <c r="F20" s="173"/>
      <c r="G20" s="173"/>
    </row>
    <row r="21" spans="1:8" s="58" customFormat="1" ht="16.5" customHeight="1" x14ac:dyDescent="0.3">
      <c r="A21" s="435"/>
      <c r="B21" s="304" t="s">
        <v>77</v>
      </c>
      <c r="C21" s="144"/>
      <c r="D21" s="144"/>
      <c r="E21" s="144"/>
      <c r="F21" s="144"/>
      <c r="G21" s="144"/>
    </row>
    <row r="22" spans="1:8" s="94" customFormat="1" ht="12" hidden="1" x14ac:dyDescent="0.3">
      <c r="A22" s="435"/>
      <c r="B22" s="54"/>
      <c r="C22" s="174"/>
      <c r="D22" s="174"/>
      <c r="E22" s="174"/>
      <c r="F22" s="174"/>
      <c r="G22" s="174"/>
    </row>
    <row r="23" spans="1:8" s="153" customFormat="1" ht="33.6" customHeight="1" x14ac:dyDescent="0.3">
      <c r="A23" s="435"/>
      <c r="B23" s="423" t="s">
        <v>187</v>
      </c>
      <c r="C23" s="19">
        <f>(C24*C26*C27)*(1-C25)</f>
        <v>0</v>
      </c>
      <c r="D23" s="19">
        <f>(D24*D26*D27)*(1-D25)</f>
        <v>0</v>
      </c>
      <c r="E23" s="19">
        <f t="shared" ref="E23:G23" si="2">(E24*E26*E27)*(1-E25)</f>
        <v>0</v>
      </c>
      <c r="F23" s="19">
        <f t="shared" si="2"/>
        <v>0</v>
      </c>
      <c r="G23" s="19">
        <f t="shared" si="2"/>
        <v>0</v>
      </c>
    </row>
    <row r="24" spans="1:8" s="80" customFormat="1" ht="16.5" customHeight="1" x14ac:dyDescent="0.3">
      <c r="A24" s="435"/>
      <c r="B24" s="303" t="s">
        <v>75</v>
      </c>
      <c r="C24" s="143"/>
      <c r="D24" s="143"/>
      <c r="E24" s="143"/>
      <c r="F24" s="143"/>
      <c r="G24" s="143"/>
    </row>
    <row r="25" spans="1:8" s="80" customFormat="1" ht="16.5" customHeight="1" x14ac:dyDescent="0.3">
      <c r="A25" s="435"/>
      <c r="B25" s="303" t="s">
        <v>584</v>
      </c>
      <c r="C25" s="400">
        <v>0.1</v>
      </c>
      <c r="D25" s="414">
        <v>0.1</v>
      </c>
      <c r="E25" s="414">
        <v>0.1</v>
      </c>
      <c r="F25" s="414">
        <v>0.1</v>
      </c>
      <c r="G25" s="414">
        <v>0.1</v>
      </c>
      <c r="H25" s="413" t="s">
        <v>591</v>
      </c>
    </row>
    <row r="26" spans="1:8" s="58" customFormat="1" ht="16.5" customHeight="1" x14ac:dyDescent="0.3">
      <c r="A26" s="435"/>
      <c r="B26" s="304" t="s">
        <v>76</v>
      </c>
      <c r="C26" s="173"/>
      <c r="D26" s="173"/>
      <c r="E26" s="173"/>
      <c r="F26" s="173"/>
      <c r="G26" s="173"/>
    </row>
    <row r="27" spans="1:8" s="58" customFormat="1" ht="16.5" customHeight="1" x14ac:dyDescent="0.3">
      <c r="A27" s="435"/>
      <c r="B27" s="304" t="s">
        <v>77</v>
      </c>
      <c r="C27" s="144"/>
      <c r="D27" s="144"/>
      <c r="E27" s="144"/>
      <c r="F27" s="144"/>
      <c r="G27" s="144"/>
    </row>
    <row r="28" spans="1:8" s="153" customFormat="1" ht="33.6" customHeight="1" x14ac:dyDescent="0.3">
      <c r="A28" s="435"/>
      <c r="B28" s="423" t="s">
        <v>593</v>
      </c>
      <c r="C28" s="19">
        <f>(C29*C31*C32)*(1-C30)</f>
        <v>0</v>
      </c>
      <c r="D28" s="19">
        <f>(D29*D31*D32)*(1-D30)</f>
        <v>0</v>
      </c>
      <c r="E28" s="19">
        <f t="shared" ref="E28" si="3">(E29*E31*E32)*(1-E30)</f>
        <v>0</v>
      </c>
      <c r="F28" s="19">
        <f t="shared" ref="F28" si="4">(F29*F31*F32)*(1-F30)</f>
        <v>0</v>
      </c>
      <c r="G28" s="19">
        <f t="shared" ref="G28" si="5">(G29*G31*G32)*(1-G30)</f>
        <v>0</v>
      </c>
    </row>
    <row r="29" spans="1:8" s="80" customFormat="1" ht="16.5" customHeight="1" x14ac:dyDescent="0.3">
      <c r="A29" s="435"/>
      <c r="B29" s="303" t="s">
        <v>75</v>
      </c>
      <c r="C29" s="143"/>
      <c r="D29" s="143"/>
      <c r="E29" s="143"/>
      <c r="F29" s="143"/>
      <c r="G29" s="143"/>
    </row>
    <row r="30" spans="1:8" s="80" customFormat="1" ht="16.5" customHeight="1" x14ac:dyDescent="0.3">
      <c r="A30" s="435"/>
      <c r="B30" s="303" t="s">
        <v>584</v>
      </c>
      <c r="C30" s="400">
        <v>0.1</v>
      </c>
      <c r="D30" s="414">
        <v>0.1</v>
      </c>
      <c r="E30" s="414">
        <v>0.1</v>
      </c>
      <c r="F30" s="414">
        <v>0.1</v>
      </c>
      <c r="G30" s="414">
        <v>0.1</v>
      </c>
      <c r="H30" s="413" t="s">
        <v>591</v>
      </c>
    </row>
    <row r="31" spans="1:8" s="58" customFormat="1" ht="16.5" customHeight="1" x14ac:dyDescent="0.3">
      <c r="A31" s="435"/>
      <c r="B31" s="304" t="s">
        <v>76</v>
      </c>
      <c r="C31" s="173"/>
      <c r="D31" s="173"/>
      <c r="E31" s="173"/>
      <c r="F31" s="173"/>
      <c r="G31" s="173"/>
    </row>
    <row r="32" spans="1:8" s="58" customFormat="1" ht="16.5" customHeight="1" x14ac:dyDescent="0.3">
      <c r="A32" s="435"/>
      <c r="B32" s="304" t="s">
        <v>77</v>
      </c>
      <c r="C32" s="144"/>
      <c r="D32" s="144"/>
      <c r="E32" s="144"/>
      <c r="F32" s="144"/>
      <c r="G32" s="144"/>
    </row>
    <row r="33" spans="1:7" s="422" customFormat="1" ht="27" customHeight="1" x14ac:dyDescent="0.3">
      <c r="A33" s="435"/>
      <c r="B33" s="427" t="s">
        <v>594</v>
      </c>
      <c r="C33" s="428">
        <f>C7+C13+C18+C23+C28</f>
        <v>0</v>
      </c>
      <c r="D33" s="428">
        <f t="shared" ref="D33:G33" si="6">D7+D13+D18+D23+D28</f>
        <v>0</v>
      </c>
      <c r="E33" s="428">
        <f t="shared" si="6"/>
        <v>0</v>
      </c>
      <c r="F33" s="428">
        <f t="shared" si="6"/>
        <v>0</v>
      </c>
      <c r="G33" s="428">
        <f t="shared" si="6"/>
        <v>0</v>
      </c>
    </row>
    <row r="34" spans="1:7" s="153" customFormat="1" ht="17.25" customHeight="1" x14ac:dyDescent="0.3">
      <c r="A34" s="435"/>
      <c r="B34" s="11" t="s">
        <v>39</v>
      </c>
      <c r="C34" s="19"/>
      <c r="D34" s="19"/>
      <c r="E34" s="19"/>
      <c r="F34" s="19"/>
      <c r="G34" s="19"/>
    </row>
    <row r="35" spans="1:7" s="153" customFormat="1" ht="17.25" customHeight="1" x14ac:dyDescent="0.3">
      <c r="A35" s="435"/>
      <c r="B35" s="11" t="s">
        <v>137</v>
      </c>
      <c r="C35" s="19"/>
      <c r="D35" s="19"/>
      <c r="E35" s="19"/>
      <c r="F35" s="19"/>
      <c r="G35" s="19"/>
    </row>
    <row r="36" spans="1:7" s="170" customFormat="1" ht="17.25" customHeight="1" x14ac:dyDescent="0.3">
      <c r="A36" s="435"/>
      <c r="B36" s="105" t="s">
        <v>22</v>
      </c>
      <c r="C36" s="19"/>
      <c r="D36" s="19"/>
      <c r="E36" s="19"/>
      <c r="F36" s="19"/>
      <c r="G36" s="19"/>
    </row>
    <row r="37" spans="1:7" s="170" customFormat="1" ht="17.25" customHeight="1" x14ac:dyDescent="0.3">
      <c r="A37" s="435"/>
      <c r="B37" s="105" t="s">
        <v>72</v>
      </c>
      <c r="C37" s="19"/>
      <c r="D37" s="19"/>
      <c r="E37" s="19"/>
      <c r="F37" s="19"/>
      <c r="G37" s="19"/>
    </row>
    <row r="38" spans="1:7" s="170" customFormat="1" ht="18.75" customHeight="1" x14ac:dyDescent="0.3">
      <c r="A38" s="435"/>
      <c r="B38" s="11" t="s">
        <v>486</v>
      </c>
      <c r="C38" s="19"/>
      <c r="D38" s="19"/>
      <c r="E38" s="19"/>
      <c r="F38" s="19"/>
      <c r="G38" s="19"/>
    </row>
    <row r="39" spans="1:7" s="170" customFormat="1" ht="17.25" customHeight="1" x14ac:dyDescent="0.3">
      <c r="A39" s="435"/>
      <c r="B39" s="105" t="s">
        <v>585</v>
      </c>
      <c r="C39" s="19"/>
      <c r="D39" s="19"/>
      <c r="E39" s="19"/>
      <c r="F39" s="19"/>
      <c r="G39" s="19"/>
    </row>
    <row r="40" spans="1:7" s="170" customFormat="1" ht="26.25" customHeight="1" x14ac:dyDescent="0.3">
      <c r="A40" s="435"/>
      <c r="B40" s="105" t="s">
        <v>586</v>
      </c>
      <c r="C40" s="19"/>
      <c r="D40" s="19"/>
      <c r="E40" s="19"/>
      <c r="F40" s="19"/>
      <c r="G40" s="19"/>
    </row>
    <row r="41" spans="1:7" s="170" customFormat="1" ht="17.25" customHeight="1" x14ac:dyDescent="0.3">
      <c r="A41" s="435"/>
      <c r="B41" s="105" t="s">
        <v>485</v>
      </c>
      <c r="C41" s="19"/>
      <c r="D41" s="19"/>
      <c r="E41" s="19"/>
      <c r="F41" s="19"/>
      <c r="G41" s="19"/>
    </row>
    <row r="42" spans="1:7" s="170" customFormat="1" ht="26.25" customHeight="1" x14ac:dyDescent="0.3">
      <c r="A42" s="435"/>
      <c r="B42" s="105" t="s">
        <v>229</v>
      </c>
      <c r="C42" s="19"/>
      <c r="D42" s="19"/>
      <c r="E42" s="19"/>
      <c r="F42" s="19"/>
      <c r="G42" s="19"/>
    </row>
    <row r="43" spans="1:7" s="170" customFormat="1" ht="25.5" customHeight="1" x14ac:dyDescent="0.3">
      <c r="A43" s="435"/>
      <c r="B43" s="105" t="s">
        <v>522</v>
      </c>
      <c r="C43" s="19"/>
      <c r="D43" s="19"/>
      <c r="E43" s="19"/>
      <c r="F43" s="19"/>
      <c r="G43" s="19"/>
    </row>
    <row r="44" spans="1:7" s="170" customFormat="1" ht="17.25" customHeight="1" x14ac:dyDescent="0.3">
      <c r="A44" s="435"/>
      <c r="B44" s="105" t="s">
        <v>53</v>
      </c>
      <c r="C44" s="19"/>
      <c r="D44" s="19"/>
      <c r="E44" s="19"/>
      <c r="F44" s="19"/>
      <c r="G44" s="19"/>
    </row>
    <row r="45" spans="1:7" s="153" customFormat="1" ht="17.25" customHeight="1" x14ac:dyDescent="0.3">
      <c r="A45" s="435"/>
      <c r="B45" s="11" t="s">
        <v>533</v>
      </c>
      <c r="C45" s="19"/>
      <c r="D45" s="19"/>
      <c r="E45" s="19"/>
      <c r="F45" s="19"/>
      <c r="G45" s="19"/>
    </row>
    <row r="46" spans="1:7" s="153" customFormat="1" ht="17.25" customHeight="1" x14ac:dyDescent="0.3">
      <c r="A46" s="435"/>
      <c r="B46" s="11" t="s">
        <v>532</v>
      </c>
      <c r="C46" s="19">
        <f>C49*C50*(1+C51)</f>
        <v>0</v>
      </c>
      <c r="D46" s="19">
        <f>D49*D50*(1+D51)</f>
        <v>0</v>
      </c>
      <c r="E46" s="19">
        <f>E49*E50*(1+E51)</f>
        <v>0</v>
      </c>
      <c r="F46" s="19">
        <f>F49*F50*(1+F51)</f>
        <v>0</v>
      </c>
      <c r="G46" s="19">
        <f>G49*G50*(1+G51)</f>
        <v>0</v>
      </c>
    </row>
    <row r="47" spans="1:7" s="13" customFormat="1" ht="17.25" customHeight="1" x14ac:dyDescent="0.3">
      <c r="A47" s="435"/>
      <c r="B47" s="27" t="s">
        <v>117</v>
      </c>
      <c r="C47" s="15"/>
      <c r="D47" s="15"/>
      <c r="E47" s="15"/>
      <c r="F47" s="15"/>
      <c r="G47" s="15"/>
    </row>
    <row r="48" spans="1:7" s="13" customFormat="1" ht="17.25" customHeight="1" x14ac:dyDescent="0.3">
      <c r="A48" s="435"/>
      <c r="B48" s="27" t="s">
        <v>118</v>
      </c>
      <c r="C48" s="15"/>
      <c r="D48" s="15"/>
      <c r="E48" s="15"/>
      <c r="F48" s="15"/>
      <c r="G48" s="15"/>
    </row>
    <row r="49" spans="1:7" s="13" customFormat="1" ht="17.25" customHeight="1" x14ac:dyDescent="0.3">
      <c r="A49" s="435"/>
      <c r="B49" s="27" t="s">
        <v>189</v>
      </c>
      <c r="C49" s="15"/>
      <c r="D49" s="15"/>
      <c r="E49" s="15"/>
      <c r="F49" s="15"/>
      <c r="G49" s="15"/>
    </row>
    <row r="50" spans="1:7" s="13" customFormat="1" ht="17.25" customHeight="1" x14ac:dyDescent="0.3">
      <c r="A50" s="435"/>
      <c r="B50" s="27" t="s">
        <v>116</v>
      </c>
      <c r="C50" s="15"/>
      <c r="D50" s="15"/>
      <c r="E50" s="15"/>
      <c r="F50" s="15"/>
      <c r="G50" s="15"/>
    </row>
    <row r="51" spans="1:7" s="94" customFormat="1" ht="12" hidden="1" x14ac:dyDescent="0.3">
      <c r="A51" s="435"/>
      <c r="B51" s="54" t="s">
        <v>145</v>
      </c>
      <c r="C51" s="294"/>
      <c r="D51" s="294"/>
      <c r="E51" s="294"/>
      <c r="F51" s="294"/>
      <c r="G51" s="294"/>
    </row>
    <row r="52" spans="1:7" s="153" customFormat="1" ht="17.25" customHeight="1" x14ac:dyDescent="0.3">
      <c r="A52" s="435"/>
      <c r="B52" s="11" t="s">
        <v>23</v>
      </c>
      <c r="C52" s="19">
        <f t="shared" ref="C52:D52" si="7">C53*C54*(1+C55)</f>
        <v>0</v>
      </c>
      <c r="D52" s="19">
        <f t="shared" si="7"/>
        <v>0</v>
      </c>
      <c r="E52" s="19">
        <f t="shared" ref="E52:F52" si="8">E53*E54*(1+E55)</f>
        <v>0</v>
      </c>
      <c r="F52" s="19">
        <f t="shared" si="8"/>
        <v>0</v>
      </c>
      <c r="G52" s="19">
        <f t="shared" ref="G52" si="9">G53*G54*(1+G55)</f>
        <v>0</v>
      </c>
    </row>
    <row r="53" spans="1:7" s="13" customFormat="1" ht="17.25" customHeight="1" x14ac:dyDescent="0.3">
      <c r="A53" s="435"/>
      <c r="B53" s="27" t="s">
        <v>67</v>
      </c>
      <c r="C53" s="15"/>
      <c r="D53" s="15"/>
      <c r="E53" s="15"/>
      <c r="F53" s="15"/>
      <c r="G53" s="15"/>
    </row>
    <row r="54" spans="1:7" s="13" customFormat="1" ht="17.25" customHeight="1" x14ac:dyDescent="0.3">
      <c r="A54" s="435"/>
      <c r="B54" s="27" t="s">
        <v>119</v>
      </c>
      <c r="C54" s="15"/>
      <c r="D54" s="15"/>
      <c r="E54" s="15"/>
      <c r="F54" s="15"/>
      <c r="G54" s="15"/>
    </row>
    <row r="55" spans="1:7" s="94" customFormat="1" ht="12" hidden="1" x14ac:dyDescent="0.3">
      <c r="A55" s="435"/>
      <c r="B55" s="54" t="s">
        <v>145</v>
      </c>
      <c r="C55" s="294"/>
      <c r="D55" s="294"/>
      <c r="E55" s="294"/>
      <c r="F55" s="294"/>
      <c r="G55" s="294"/>
    </row>
    <row r="56" spans="1:7" s="153" customFormat="1" ht="17.25" customHeight="1" x14ac:dyDescent="0.3">
      <c r="A56" s="435"/>
      <c r="B56" s="11" t="s">
        <v>24</v>
      </c>
      <c r="C56" s="19">
        <f t="shared" ref="C56:D56" si="10">C57*C58*(1+C59)</f>
        <v>0</v>
      </c>
      <c r="D56" s="19">
        <f t="shared" si="10"/>
        <v>0</v>
      </c>
      <c r="E56" s="19">
        <f t="shared" ref="E56:F56" si="11">E57*E58*(1+E59)</f>
        <v>0</v>
      </c>
      <c r="F56" s="19">
        <f t="shared" si="11"/>
        <v>0</v>
      </c>
      <c r="G56" s="19">
        <f t="shared" ref="G56" si="12">G57*G58*(1+G59)</f>
        <v>0</v>
      </c>
    </row>
    <row r="57" spans="1:7" s="13" customFormat="1" ht="17.25" customHeight="1" x14ac:dyDescent="0.3">
      <c r="A57" s="435"/>
      <c r="B57" s="27" t="s">
        <v>67</v>
      </c>
      <c r="C57" s="15"/>
      <c r="D57" s="15"/>
      <c r="E57" s="15"/>
      <c r="F57" s="15"/>
      <c r="G57" s="15"/>
    </row>
    <row r="58" spans="1:7" s="13" customFormat="1" ht="17.25" customHeight="1" x14ac:dyDescent="0.3">
      <c r="A58" s="435"/>
      <c r="B58" s="27" t="s">
        <v>120</v>
      </c>
      <c r="C58" s="15"/>
      <c r="D58" s="15"/>
      <c r="E58" s="15"/>
      <c r="F58" s="15"/>
      <c r="G58" s="15"/>
    </row>
    <row r="59" spans="1:7" s="94" customFormat="1" ht="12" hidden="1" x14ac:dyDescent="0.3">
      <c r="A59" s="435"/>
      <c r="B59" s="54" t="s">
        <v>145</v>
      </c>
      <c r="C59" s="294"/>
      <c r="D59" s="294"/>
      <c r="E59" s="294"/>
      <c r="F59" s="294"/>
      <c r="G59" s="294"/>
    </row>
    <row r="60" spans="1:7" s="403" customFormat="1" ht="18.600000000000001" customHeight="1" x14ac:dyDescent="0.3">
      <c r="A60" s="435"/>
      <c r="B60" s="401"/>
      <c r="C60" s="402"/>
      <c r="D60" s="402"/>
      <c r="E60" s="402"/>
      <c r="F60" s="402"/>
      <c r="G60" s="402"/>
    </row>
    <row r="61" spans="1:7" s="403" customFormat="1" ht="18.600000000000001" customHeight="1" x14ac:dyDescent="0.3">
      <c r="A61" s="435"/>
      <c r="B61" s="401"/>
      <c r="C61" s="402"/>
      <c r="D61" s="402"/>
      <c r="E61" s="402"/>
      <c r="F61" s="402"/>
      <c r="G61" s="402"/>
    </row>
    <row r="62" spans="1:7" s="403" customFormat="1" ht="18.600000000000001" customHeight="1" x14ac:dyDescent="0.3">
      <c r="A62" s="435"/>
      <c r="B62" s="401"/>
      <c r="C62" s="402"/>
      <c r="D62" s="402"/>
      <c r="E62" s="402"/>
      <c r="F62" s="402"/>
      <c r="G62" s="402"/>
    </row>
    <row r="63" spans="1:7" s="403" customFormat="1" ht="18.600000000000001" customHeight="1" x14ac:dyDescent="0.3">
      <c r="A63" s="435"/>
      <c r="B63" s="401"/>
      <c r="C63" s="402"/>
      <c r="D63" s="402"/>
      <c r="E63" s="402"/>
      <c r="F63" s="402"/>
      <c r="G63" s="402"/>
    </row>
    <row r="64" spans="1:7" s="403" customFormat="1" ht="18.600000000000001" customHeight="1" x14ac:dyDescent="0.3">
      <c r="A64" s="435"/>
      <c r="B64" s="401"/>
      <c r="C64" s="402"/>
      <c r="D64" s="402"/>
      <c r="E64" s="402"/>
      <c r="F64" s="402"/>
      <c r="G64" s="402"/>
    </row>
    <row r="65" spans="1:36" s="403" customFormat="1" ht="18.600000000000001" customHeight="1" x14ac:dyDescent="0.3">
      <c r="A65" s="435"/>
      <c r="B65" s="401"/>
      <c r="C65" s="402"/>
      <c r="D65" s="402"/>
      <c r="E65" s="402"/>
      <c r="F65" s="402"/>
      <c r="G65" s="402"/>
    </row>
    <row r="66" spans="1:36" s="403" customFormat="1" ht="18.600000000000001" customHeight="1" x14ac:dyDescent="0.3">
      <c r="A66" s="435"/>
      <c r="B66" s="401"/>
      <c r="C66" s="402"/>
      <c r="D66" s="402"/>
      <c r="E66" s="402"/>
      <c r="F66" s="402"/>
      <c r="G66" s="402"/>
    </row>
    <row r="67" spans="1:36" s="403" customFormat="1" ht="18.600000000000001" customHeight="1" x14ac:dyDescent="0.3">
      <c r="A67" s="435"/>
      <c r="B67" s="401"/>
      <c r="C67" s="402"/>
      <c r="D67" s="402"/>
      <c r="E67" s="402"/>
      <c r="F67" s="402"/>
      <c r="G67" s="402"/>
    </row>
    <row r="68" spans="1:36" s="403" customFormat="1" ht="18.600000000000001" customHeight="1" x14ac:dyDescent="0.3">
      <c r="A68" s="435"/>
      <c r="B68" s="401"/>
      <c r="C68" s="402"/>
      <c r="D68" s="402"/>
      <c r="E68" s="402"/>
      <c r="F68" s="402"/>
      <c r="G68" s="402"/>
    </row>
    <row r="69" spans="1:36" s="403" customFormat="1" ht="18.600000000000001" customHeight="1" x14ac:dyDescent="0.3">
      <c r="A69" s="435"/>
      <c r="B69" s="401"/>
      <c r="C69" s="402"/>
      <c r="D69" s="402"/>
      <c r="E69" s="402"/>
      <c r="F69" s="402"/>
      <c r="G69" s="402"/>
    </row>
    <row r="70" spans="1:36" s="418" customFormat="1" ht="28.2" customHeight="1" x14ac:dyDescent="0.3">
      <c r="A70" s="436"/>
      <c r="B70" s="416" t="s">
        <v>86</v>
      </c>
      <c r="C70" s="417">
        <f>C33+C34+C35+C36+C37+C38+C39+C40+C41+C42+C43+C44+C45+C46+C52+C56+C60+C61+C62+C63+C64+C65+C66+C67+C68+C69</f>
        <v>0</v>
      </c>
      <c r="D70" s="417">
        <f t="shared" ref="D70:G70" si="13">D33+D34+D35+D36+D37+D38+D39+D40+D41+D42+D43+D44+D45+D46+D52+D56+D60+D61+D62+D63+D64+D65+D66+D67+D68+D69</f>
        <v>0</v>
      </c>
      <c r="E70" s="417">
        <f t="shared" si="13"/>
        <v>0</v>
      </c>
      <c r="F70" s="417">
        <f t="shared" si="13"/>
        <v>0</v>
      </c>
      <c r="G70" s="417">
        <f t="shared" si="13"/>
        <v>0</v>
      </c>
    </row>
    <row r="71" spans="1:36" s="337" customFormat="1" ht="20.399999999999999" customHeight="1" x14ac:dyDescent="0.3">
      <c r="A71" s="336"/>
      <c r="B71" s="338" t="s">
        <v>588</v>
      </c>
      <c r="C71" s="336"/>
      <c r="D71" s="336"/>
      <c r="E71" s="336"/>
      <c r="F71" s="336"/>
      <c r="G71" s="336"/>
    </row>
    <row r="72" spans="1:36" s="337" customFormat="1" ht="34.200000000000003" customHeight="1" x14ac:dyDescent="0.3">
      <c r="A72" s="336"/>
      <c r="B72" s="404" t="s">
        <v>587</v>
      </c>
      <c r="C72" s="336"/>
      <c r="D72" s="336"/>
      <c r="E72" s="336"/>
      <c r="F72" s="336"/>
      <c r="G72" s="336"/>
    </row>
    <row r="73" spans="1:36" s="421" customFormat="1" ht="31.2" customHeight="1" x14ac:dyDescent="0.3">
      <c r="A73" s="419"/>
      <c r="B73" s="416" t="s">
        <v>536</v>
      </c>
      <c r="C73" s="420">
        <f t="shared" ref="C73" si="14">C70+C71+C72</f>
        <v>0</v>
      </c>
      <c r="D73" s="420">
        <f t="shared" ref="D73:F73" si="15">D70+D71+D72</f>
        <v>0</v>
      </c>
      <c r="E73" s="420">
        <f t="shared" ref="E73" si="16">E70+E71+E72</f>
        <v>0</v>
      </c>
      <c r="F73" s="420">
        <f t="shared" si="15"/>
        <v>0</v>
      </c>
      <c r="G73" s="420">
        <f t="shared" ref="G73" si="17">G70+G71+G72</f>
        <v>0</v>
      </c>
    </row>
    <row r="74" spans="1:36" s="98" customFormat="1" ht="27.6" x14ac:dyDescent="0.3">
      <c r="A74" s="97"/>
      <c r="B74" s="97" t="s">
        <v>154</v>
      </c>
      <c r="C74" s="103">
        <f>C73/1000</f>
        <v>0</v>
      </c>
      <c r="D74" s="103">
        <f>D73/1000</f>
        <v>0</v>
      </c>
      <c r="E74" s="103">
        <f t="shared" ref="E74:F74" si="18">E73/1000</f>
        <v>0</v>
      </c>
      <c r="F74" s="103">
        <f t="shared" si="18"/>
        <v>0</v>
      </c>
      <c r="G74" s="103">
        <f t="shared" ref="G74" si="19">G73/1000</f>
        <v>0</v>
      </c>
    </row>
    <row r="75" spans="1:36" s="31" customFormat="1" x14ac:dyDescent="0.3">
      <c r="A75" s="5"/>
      <c r="B75" s="33"/>
    </row>
    <row r="76" spans="1:36" s="159" customFormat="1" ht="13.2" x14ac:dyDescent="0.3">
      <c r="A76" s="162"/>
      <c r="C76" s="163"/>
      <c r="D76" s="163"/>
      <c r="E76" s="163"/>
      <c r="F76" s="163"/>
      <c r="G76" s="163"/>
    </row>
    <row r="77" spans="1:36" s="31" customFormat="1" x14ac:dyDescent="0.3">
      <c r="A77" s="5"/>
      <c r="B77" s="33"/>
    </row>
    <row r="78" spans="1:36" s="406" customFormat="1" ht="23.4" customHeight="1" x14ac:dyDescent="0.3">
      <c r="A78" s="469" t="s">
        <v>553</v>
      </c>
      <c r="B78" s="469"/>
      <c r="C78" s="87"/>
      <c r="D78" s="87"/>
      <c r="E78" s="87"/>
      <c r="F78" s="90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405"/>
      <c r="AJ78" s="405"/>
    </row>
    <row r="79" spans="1:36" s="406" customFormat="1" ht="21.6" customHeight="1" x14ac:dyDescent="0.3">
      <c r="A79" s="469" t="s">
        <v>130</v>
      </c>
      <c r="B79" s="469"/>
      <c r="C79" s="87"/>
      <c r="D79" s="87"/>
      <c r="E79" s="87"/>
      <c r="F79" s="90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405"/>
      <c r="AJ79" s="405"/>
    </row>
    <row r="80" spans="1:36" s="31" customFormat="1" x14ac:dyDescent="0.3">
      <c r="A80" s="5"/>
      <c r="C80" s="293"/>
      <c r="D80" s="293"/>
      <c r="E80" s="293"/>
      <c r="F80" s="293"/>
      <c r="G80" s="293"/>
    </row>
    <row r="81" spans="1:1" s="31" customFormat="1" x14ac:dyDescent="0.3">
      <c r="A81" s="5"/>
    </row>
    <row r="82" spans="1:1" s="31" customFormat="1" x14ac:dyDescent="0.3">
      <c r="A82" s="5"/>
    </row>
    <row r="83" spans="1:1" s="31" customFormat="1" x14ac:dyDescent="0.3">
      <c r="A83" s="5"/>
    </row>
    <row r="84" spans="1:1" s="31" customFormat="1" x14ac:dyDescent="0.3">
      <c r="A84" s="5"/>
    </row>
    <row r="85" spans="1:1" s="31" customFormat="1" x14ac:dyDescent="0.3">
      <c r="A85" s="5"/>
    </row>
    <row r="86" spans="1:1" s="31" customFormat="1" x14ac:dyDescent="0.3">
      <c r="A86" s="5"/>
    </row>
    <row r="87" spans="1:1" s="31" customFormat="1" x14ac:dyDescent="0.3">
      <c r="A87" s="5"/>
    </row>
    <row r="88" spans="1:1" s="31" customFormat="1" x14ac:dyDescent="0.3">
      <c r="A88" s="5"/>
    </row>
    <row r="89" spans="1:1" s="31" customFormat="1" x14ac:dyDescent="0.3">
      <c r="A89" s="5"/>
    </row>
    <row r="90" spans="1:1" s="31" customFormat="1" x14ac:dyDescent="0.3">
      <c r="A90" s="5"/>
    </row>
    <row r="91" spans="1:1" s="31" customFormat="1" x14ac:dyDescent="0.3">
      <c r="A91" s="5"/>
    </row>
    <row r="92" spans="1:1" s="31" customFormat="1" x14ac:dyDescent="0.3">
      <c r="A92" s="5"/>
    </row>
    <row r="93" spans="1:1" s="31" customFormat="1" x14ac:dyDescent="0.3">
      <c r="A93" s="5"/>
    </row>
    <row r="94" spans="1:1" s="31" customFormat="1" x14ac:dyDescent="0.3">
      <c r="A94" s="5"/>
    </row>
    <row r="95" spans="1:1" s="31" customFormat="1" x14ac:dyDescent="0.3">
      <c r="A95" s="5"/>
    </row>
    <row r="96" spans="1:1" s="31" customFormat="1" x14ac:dyDescent="0.3">
      <c r="A96" s="5"/>
    </row>
    <row r="97" spans="1:1" s="31" customFormat="1" x14ac:dyDescent="0.3">
      <c r="A97" s="5"/>
    </row>
    <row r="98" spans="1:1" s="31" customFormat="1" x14ac:dyDescent="0.3">
      <c r="A98" s="5"/>
    </row>
    <row r="99" spans="1:1" s="31" customFormat="1" x14ac:dyDescent="0.3">
      <c r="A99" s="5"/>
    </row>
    <row r="100" spans="1:1" s="31" customFormat="1" x14ac:dyDescent="0.3">
      <c r="A100" s="5"/>
    </row>
    <row r="101" spans="1:1" s="31" customFormat="1" x14ac:dyDescent="0.3">
      <c r="A101" s="5"/>
    </row>
    <row r="102" spans="1:1" s="31" customFormat="1" x14ac:dyDescent="0.3">
      <c r="A102" s="5"/>
    </row>
    <row r="103" spans="1:1" s="31" customFormat="1" x14ac:dyDescent="0.3">
      <c r="A103" s="5"/>
    </row>
    <row r="104" spans="1:1" s="31" customFormat="1" x14ac:dyDescent="0.3">
      <c r="A104" s="5"/>
    </row>
    <row r="105" spans="1:1" s="31" customFormat="1" x14ac:dyDescent="0.3">
      <c r="A105" s="5"/>
    </row>
    <row r="106" spans="1:1" s="31" customFormat="1" x14ac:dyDescent="0.3">
      <c r="A106" s="5"/>
    </row>
    <row r="107" spans="1:1" s="31" customFormat="1" x14ac:dyDescent="0.3">
      <c r="A107" s="5"/>
    </row>
    <row r="108" spans="1:1" s="31" customFormat="1" x14ac:dyDescent="0.3">
      <c r="A108" s="5"/>
    </row>
    <row r="109" spans="1:1" s="31" customFormat="1" x14ac:dyDescent="0.3">
      <c r="A109" s="5"/>
    </row>
    <row r="110" spans="1:1" s="31" customFormat="1" x14ac:dyDescent="0.3">
      <c r="A110" s="5"/>
    </row>
    <row r="111" spans="1:1" s="31" customFormat="1" x14ac:dyDescent="0.3">
      <c r="A111" s="5"/>
    </row>
    <row r="112" spans="1:1" s="31" customFormat="1" x14ac:dyDescent="0.3">
      <c r="A112" s="5"/>
    </row>
    <row r="113" spans="1:1" s="31" customFormat="1" x14ac:dyDescent="0.3">
      <c r="A113" s="5"/>
    </row>
    <row r="114" spans="1:1" s="31" customFormat="1" x14ac:dyDescent="0.3">
      <c r="A114" s="5"/>
    </row>
    <row r="115" spans="1:1" s="31" customFormat="1" x14ac:dyDescent="0.3">
      <c r="A115" s="5"/>
    </row>
    <row r="116" spans="1:1" s="31" customFormat="1" x14ac:dyDescent="0.3">
      <c r="A116" s="5"/>
    </row>
    <row r="117" spans="1:1" s="31" customFormat="1" x14ac:dyDescent="0.3">
      <c r="A117" s="5"/>
    </row>
    <row r="118" spans="1:1" s="31" customFormat="1" x14ac:dyDescent="0.3">
      <c r="A118" s="5"/>
    </row>
    <row r="119" spans="1:1" s="31" customFormat="1" x14ac:dyDescent="0.3">
      <c r="A119" s="5"/>
    </row>
    <row r="120" spans="1:1" s="31" customFormat="1" x14ac:dyDescent="0.3">
      <c r="A120" s="5"/>
    </row>
    <row r="121" spans="1:1" s="31" customFormat="1" x14ac:dyDescent="0.3">
      <c r="A121" s="5"/>
    </row>
    <row r="122" spans="1:1" s="31" customFormat="1" x14ac:dyDescent="0.3">
      <c r="A122" s="5"/>
    </row>
    <row r="123" spans="1:1" s="31" customFormat="1" x14ac:dyDescent="0.3">
      <c r="A123" s="5"/>
    </row>
    <row r="124" spans="1:1" s="31" customFormat="1" x14ac:dyDescent="0.3">
      <c r="A124" s="5"/>
    </row>
    <row r="125" spans="1:1" s="31" customFormat="1" x14ac:dyDescent="0.3">
      <c r="A125" s="5"/>
    </row>
    <row r="126" spans="1:1" s="31" customFormat="1" x14ac:dyDescent="0.3">
      <c r="A126" s="5"/>
    </row>
    <row r="127" spans="1:1" s="31" customFormat="1" x14ac:dyDescent="0.3">
      <c r="A127" s="5"/>
    </row>
    <row r="128" spans="1:1" s="31" customFormat="1" x14ac:dyDescent="0.3">
      <c r="A128" s="5"/>
    </row>
    <row r="129" spans="1:1" s="31" customFormat="1" x14ac:dyDescent="0.3">
      <c r="A129" s="5"/>
    </row>
  </sheetData>
  <mergeCells count="4">
    <mergeCell ref="A78:B78"/>
    <mergeCell ref="A79:B79"/>
    <mergeCell ref="A6:A70"/>
    <mergeCell ref="D4:G4"/>
  </mergeCells>
  <pageMargins left="0.39370078740157483" right="0.39370078740157483" top="0.39370078740157483" bottom="0.39370078740157483" header="0.31496062992125984" footer="0.31496062992125984"/>
  <pageSetup paperSize="9" scale="66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86"/>
  <sheetViews>
    <sheetView view="pageBreakPreview" zoomScale="90" zoomScaleSheetLayoutView="90" workbookViewId="0">
      <selection activeCell="D208" sqref="D208"/>
    </sheetView>
  </sheetViews>
  <sheetFormatPr defaultColWidth="9.109375" defaultRowHeight="13.8" x14ac:dyDescent="0.25"/>
  <cols>
    <col min="1" max="1" width="5" style="5" customWidth="1"/>
    <col min="2" max="2" width="30.109375" style="1" customWidth="1"/>
    <col min="3" max="3" width="41" style="3" customWidth="1"/>
    <col min="4" max="4" width="14.88671875" style="1" customWidth="1"/>
    <col min="5" max="16384" width="9.109375" style="1"/>
  </cols>
  <sheetData>
    <row r="1" spans="1:4" ht="55.5" customHeight="1" x14ac:dyDescent="0.25">
      <c r="B1" s="470" t="s">
        <v>124</v>
      </c>
      <c r="C1" s="470"/>
      <c r="D1" s="470"/>
    </row>
    <row r="2" spans="1:4" x14ac:dyDescent="0.25">
      <c r="C2" s="4" t="s">
        <v>95</v>
      </c>
    </row>
    <row r="3" spans="1:4" ht="17.25" customHeight="1" x14ac:dyDescent="0.25">
      <c r="A3" s="437" t="s">
        <v>97</v>
      </c>
      <c r="B3" s="437"/>
      <c r="C3" s="437"/>
    </row>
    <row r="4" spans="1:4" ht="17.25" customHeight="1" x14ac:dyDescent="0.25">
      <c r="A4" s="7"/>
      <c r="B4" s="441" t="s">
        <v>191</v>
      </c>
      <c r="C4" s="441"/>
    </row>
    <row r="5" spans="1:4" s="2" customFormat="1" ht="27" customHeight="1" x14ac:dyDescent="0.25">
      <c r="A5" s="175"/>
      <c r="B5" s="6"/>
      <c r="C5" s="175" t="s">
        <v>99</v>
      </c>
    </row>
    <row r="6" spans="1:4" s="13" customFormat="1" ht="12" x14ac:dyDescent="0.3">
      <c r="A6" s="440">
        <v>211</v>
      </c>
      <c r="B6" s="11" t="s">
        <v>100</v>
      </c>
      <c r="C6" s="12"/>
    </row>
    <row r="7" spans="1:4" s="13" customFormat="1" ht="12" x14ac:dyDescent="0.3">
      <c r="A7" s="440"/>
      <c r="B7" s="14" t="s">
        <v>55</v>
      </c>
      <c r="C7" s="15"/>
    </row>
    <row r="8" spans="1:4" s="13" customFormat="1" ht="12" x14ac:dyDescent="0.3">
      <c r="A8" s="440"/>
      <c r="B8" s="14" t="s">
        <v>56</v>
      </c>
      <c r="C8" s="15"/>
    </row>
    <row r="9" spans="1:4" s="13" customFormat="1" ht="12" x14ac:dyDescent="0.3">
      <c r="A9" s="440"/>
      <c r="B9" s="11" t="s">
        <v>57</v>
      </c>
      <c r="C9" s="12">
        <v>8823</v>
      </c>
    </row>
    <row r="10" spans="1:4" s="13" customFormat="1" ht="12" x14ac:dyDescent="0.3">
      <c r="A10" s="440"/>
      <c r="B10" s="14" t="s">
        <v>55</v>
      </c>
      <c r="C10" s="15">
        <v>4.25</v>
      </c>
    </row>
    <row r="11" spans="1:4" s="13" customFormat="1" ht="12" x14ac:dyDescent="0.3">
      <c r="A11" s="440"/>
      <c r="B11" s="14" t="s">
        <v>56</v>
      </c>
      <c r="C11" s="15">
        <v>37497.75</v>
      </c>
    </row>
    <row r="12" spans="1:4" s="13" customFormat="1" ht="17.25" customHeight="1" x14ac:dyDescent="0.3">
      <c r="A12" s="440"/>
      <c r="B12" s="16" t="s">
        <v>94</v>
      </c>
      <c r="C12" s="17">
        <v>449973</v>
      </c>
    </row>
    <row r="13" spans="1:4" s="13" customFormat="1" ht="16.5" customHeight="1" x14ac:dyDescent="0.3">
      <c r="A13" s="10">
        <v>213</v>
      </c>
      <c r="B13" s="16" t="s">
        <v>93</v>
      </c>
      <c r="C13" s="17">
        <v>135892</v>
      </c>
    </row>
    <row r="14" spans="1:4" s="13" customFormat="1" ht="12" x14ac:dyDescent="0.3">
      <c r="A14" s="440">
        <v>221</v>
      </c>
      <c r="B14" s="18" t="s">
        <v>58</v>
      </c>
      <c r="C14" s="12">
        <v>15600</v>
      </c>
    </row>
    <row r="15" spans="1:4" s="13" customFormat="1" ht="12" x14ac:dyDescent="0.3">
      <c r="A15" s="440"/>
      <c r="B15" s="14" t="s">
        <v>59</v>
      </c>
      <c r="C15" s="15">
        <v>2</v>
      </c>
    </row>
    <row r="16" spans="1:4" s="13" customFormat="1" ht="12" x14ac:dyDescent="0.3">
      <c r="A16" s="440"/>
      <c r="B16" s="14" t="s">
        <v>61</v>
      </c>
      <c r="C16" s="15">
        <v>1300</v>
      </c>
    </row>
    <row r="17" spans="1:3" s="13" customFormat="1" ht="12" x14ac:dyDescent="0.3">
      <c r="A17" s="440"/>
      <c r="B17" s="18" t="s">
        <v>0</v>
      </c>
      <c r="C17" s="12"/>
    </row>
    <row r="18" spans="1:3" s="13" customFormat="1" ht="12" x14ac:dyDescent="0.3">
      <c r="A18" s="440"/>
      <c r="B18" s="14" t="s">
        <v>79</v>
      </c>
      <c r="C18" s="15"/>
    </row>
    <row r="19" spans="1:3" s="13" customFormat="1" ht="12" x14ac:dyDescent="0.3">
      <c r="A19" s="440"/>
      <c r="B19" s="14" t="s">
        <v>60</v>
      </c>
      <c r="C19" s="15"/>
    </row>
    <row r="20" spans="1:3" s="13" customFormat="1" ht="12" x14ac:dyDescent="0.3">
      <c r="A20" s="440"/>
      <c r="B20" s="18" t="s">
        <v>1</v>
      </c>
      <c r="C20" s="12"/>
    </row>
    <row r="21" spans="1:3" s="13" customFormat="1" ht="12" x14ac:dyDescent="0.3">
      <c r="A21" s="440"/>
      <c r="B21" s="14" t="s">
        <v>80</v>
      </c>
      <c r="C21" s="15"/>
    </row>
    <row r="22" spans="1:3" s="13" customFormat="1" ht="12" x14ac:dyDescent="0.3">
      <c r="A22" s="440"/>
      <c r="B22" s="14" t="s">
        <v>107</v>
      </c>
      <c r="C22" s="15"/>
    </row>
    <row r="23" spans="1:3" s="13" customFormat="1" ht="12" x14ac:dyDescent="0.3">
      <c r="A23" s="440"/>
      <c r="B23" s="16" t="s">
        <v>92</v>
      </c>
      <c r="C23" s="17">
        <v>15600</v>
      </c>
    </row>
    <row r="24" spans="1:3" s="13" customFormat="1" ht="12" x14ac:dyDescent="0.3">
      <c r="A24" s="440">
        <v>222</v>
      </c>
      <c r="B24" s="18" t="s">
        <v>62</v>
      </c>
      <c r="C24" s="19">
        <v>15900</v>
      </c>
    </row>
    <row r="25" spans="1:3" s="157" customFormat="1" ht="12" x14ac:dyDescent="0.3">
      <c r="A25" s="440"/>
      <c r="B25" s="259" t="s">
        <v>81</v>
      </c>
      <c r="C25" s="260">
        <v>3</v>
      </c>
    </row>
    <row r="26" spans="1:3" s="157" customFormat="1" ht="12" x14ac:dyDescent="0.3">
      <c r="A26" s="440"/>
      <c r="B26" s="259" t="s">
        <v>106</v>
      </c>
      <c r="C26" s="260">
        <v>5300</v>
      </c>
    </row>
    <row r="27" spans="1:3" s="13" customFormat="1" ht="12" x14ac:dyDescent="0.3">
      <c r="A27" s="440"/>
      <c r="B27" s="16" t="s">
        <v>91</v>
      </c>
      <c r="C27" s="17">
        <v>15900</v>
      </c>
    </row>
    <row r="28" spans="1:3" s="13" customFormat="1" ht="12" x14ac:dyDescent="0.3">
      <c r="A28" s="440">
        <v>223</v>
      </c>
      <c r="B28" s="11" t="s">
        <v>2</v>
      </c>
      <c r="C28" s="12">
        <v>425580</v>
      </c>
    </row>
    <row r="29" spans="1:3" s="13" customFormat="1" ht="12" x14ac:dyDescent="0.3">
      <c r="A29" s="440"/>
      <c r="B29" s="14" t="s">
        <v>82</v>
      </c>
      <c r="C29" s="15">
        <v>70930</v>
      </c>
    </row>
    <row r="30" spans="1:3" s="13" customFormat="1" ht="12" x14ac:dyDescent="0.3">
      <c r="A30" s="440"/>
      <c r="B30" s="14" t="s">
        <v>108</v>
      </c>
      <c r="C30" s="15">
        <v>6</v>
      </c>
    </row>
    <row r="31" spans="1:3" s="13" customFormat="1" ht="12" x14ac:dyDescent="0.3">
      <c r="A31" s="440"/>
      <c r="B31" s="11" t="s">
        <v>3</v>
      </c>
      <c r="C31" s="12">
        <v>1076383.29</v>
      </c>
    </row>
    <row r="32" spans="1:3" s="13" customFormat="1" ht="12" x14ac:dyDescent="0.3">
      <c r="A32" s="440"/>
      <c r="B32" s="14" t="s">
        <v>83</v>
      </c>
      <c r="C32" s="15">
        <v>605.54600000000005</v>
      </c>
    </row>
    <row r="33" spans="1:3" s="13" customFormat="1" ht="12" x14ac:dyDescent="0.3">
      <c r="A33" s="440"/>
      <c r="B33" s="14" t="s">
        <v>63</v>
      </c>
      <c r="C33" s="15">
        <v>1777.53</v>
      </c>
    </row>
    <row r="34" spans="1:3" s="13" customFormat="1" ht="12" x14ac:dyDescent="0.3">
      <c r="A34" s="440"/>
      <c r="B34" s="11" t="s">
        <v>4</v>
      </c>
      <c r="C34" s="12">
        <v>30877</v>
      </c>
    </row>
    <row r="35" spans="1:3" s="13" customFormat="1" ht="12" x14ac:dyDescent="0.3">
      <c r="A35" s="440"/>
      <c r="B35" s="14" t="s">
        <v>84</v>
      </c>
      <c r="C35" s="15">
        <v>1100</v>
      </c>
    </row>
    <row r="36" spans="1:3" s="13" customFormat="1" ht="12" x14ac:dyDescent="0.3">
      <c r="A36" s="440"/>
      <c r="B36" s="14" t="s">
        <v>108</v>
      </c>
      <c r="C36" s="15">
        <v>28.07</v>
      </c>
    </row>
    <row r="37" spans="1:3" s="13" customFormat="1" ht="12" x14ac:dyDescent="0.3">
      <c r="A37" s="440"/>
      <c r="B37" s="11" t="s">
        <v>29</v>
      </c>
      <c r="C37" s="12">
        <v>37767.5</v>
      </c>
    </row>
    <row r="38" spans="1:3" s="13" customFormat="1" ht="12" x14ac:dyDescent="0.3">
      <c r="A38" s="440"/>
      <c r="B38" s="14" t="s">
        <v>84</v>
      </c>
      <c r="C38" s="15">
        <v>250</v>
      </c>
    </row>
    <row r="39" spans="1:3" s="13" customFormat="1" ht="12" x14ac:dyDescent="0.3">
      <c r="A39" s="440"/>
      <c r="B39" s="14" t="s">
        <v>108</v>
      </c>
      <c r="C39" s="15">
        <v>151.07</v>
      </c>
    </row>
    <row r="40" spans="1:3" s="13" customFormat="1" ht="12" x14ac:dyDescent="0.3">
      <c r="A40" s="440"/>
      <c r="B40" s="11" t="s">
        <v>5</v>
      </c>
      <c r="C40" s="12">
        <v>65610</v>
      </c>
    </row>
    <row r="41" spans="1:3" s="13" customFormat="1" ht="12" x14ac:dyDescent="0.3">
      <c r="A41" s="440"/>
      <c r="B41" s="14" t="s">
        <v>84</v>
      </c>
      <c r="C41" s="15">
        <v>1350</v>
      </c>
    </row>
    <row r="42" spans="1:3" s="13" customFormat="1" ht="12" x14ac:dyDescent="0.3">
      <c r="A42" s="440"/>
      <c r="B42" s="14" t="s">
        <v>108</v>
      </c>
      <c r="C42" s="15">
        <v>48.6</v>
      </c>
    </row>
    <row r="43" spans="1:3" s="13" customFormat="1" ht="12" x14ac:dyDescent="0.3">
      <c r="A43" s="440"/>
      <c r="B43" s="11" t="s">
        <v>25</v>
      </c>
      <c r="C43" s="12"/>
    </row>
    <row r="44" spans="1:3" s="13" customFormat="1" ht="12" x14ac:dyDescent="0.3">
      <c r="A44" s="440"/>
      <c r="B44" s="14" t="s">
        <v>67</v>
      </c>
      <c r="C44" s="15"/>
    </row>
    <row r="45" spans="1:3" s="13" customFormat="1" ht="12" x14ac:dyDescent="0.3">
      <c r="A45" s="440"/>
      <c r="B45" s="14" t="s">
        <v>108</v>
      </c>
      <c r="C45" s="15"/>
    </row>
    <row r="46" spans="1:3" s="13" customFormat="1" ht="12" x14ac:dyDescent="0.3">
      <c r="A46" s="440"/>
      <c r="B46" s="16" t="s">
        <v>90</v>
      </c>
      <c r="C46" s="17">
        <v>1636217.79</v>
      </c>
    </row>
    <row r="47" spans="1:3" s="13" customFormat="1" ht="12" x14ac:dyDescent="0.3">
      <c r="A47" s="440"/>
      <c r="B47" s="11" t="s">
        <v>6</v>
      </c>
      <c r="C47" s="12">
        <v>12600</v>
      </c>
    </row>
    <row r="48" spans="1:3" s="13" customFormat="1" ht="12" x14ac:dyDescent="0.3">
      <c r="A48" s="440"/>
      <c r="B48" s="14" t="s">
        <v>84</v>
      </c>
      <c r="C48" s="15">
        <v>36</v>
      </c>
    </row>
    <row r="49" spans="1:4" s="13" customFormat="1" ht="12" x14ac:dyDescent="0.3">
      <c r="A49" s="440"/>
      <c r="B49" s="14" t="s">
        <v>108</v>
      </c>
      <c r="C49" s="15">
        <v>350</v>
      </c>
    </row>
    <row r="50" spans="1:4" s="157" customFormat="1" ht="12" x14ac:dyDescent="0.3">
      <c r="A50" s="440"/>
      <c r="B50" s="22" t="s">
        <v>7</v>
      </c>
      <c r="C50" s="257">
        <v>6888.8</v>
      </c>
    </row>
    <row r="51" spans="1:4" s="13" customFormat="1" ht="12" x14ac:dyDescent="0.3">
      <c r="A51" s="440"/>
      <c r="B51" s="14" t="s">
        <v>70</v>
      </c>
      <c r="C51" s="15">
        <v>12000</v>
      </c>
    </row>
    <row r="52" spans="1:4" s="13" customFormat="1" ht="12" x14ac:dyDescent="0.3">
      <c r="A52" s="440"/>
      <c r="B52" s="14" t="s">
        <v>108</v>
      </c>
      <c r="C52" s="15">
        <v>0.50739999999999996</v>
      </c>
      <c r="D52" s="13">
        <f>C50/C51</f>
        <v>0.57406666666666673</v>
      </c>
    </row>
    <row r="53" spans="1:4" s="13" customFormat="1" ht="22.8" x14ac:dyDescent="0.3">
      <c r="A53" s="440"/>
      <c r="B53" s="11" t="s">
        <v>54</v>
      </c>
      <c r="C53" s="12">
        <v>15000</v>
      </c>
    </row>
    <row r="54" spans="1:4" s="13" customFormat="1" ht="12" x14ac:dyDescent="0.3">
      <c r="A54" s="440"/>
      <c r="B54" s="20" t="s">
        <v>67</v>
      </c>
      <c r="C54" s="21">
        <v>1</v>
      </c>
    </row>
    <row r="55" spans="1:4" s="13" customFormat="1" ht="12" x14ac:dyDescent="0.3">
      <c r="A55" s="440"/>
      <c r="B55" s="14" t="s">
        <v>63</v>
      </c>
      <c r="C55" s="15">
        <v>15000</v>
      </c>
    </row>
    <row r="56" spans="1:4" s="13" customFormat="1" ht="12" x14ac:dyDescent="0.3">
      <c r="A56" s="440"/>
      <c r="B56" s="11" t="s">
        <v>8</v>
      </c>
      <c r="C56" s="12">
        <v>14400</v>
      </c>
    </row>
    <row r="57" spans="1:4" s="13" customFormat="1" ht="12" x14ac:dyDescent="0.3">
      <c r="A57" s="440"/>
      <c r="B57" s="14" t="s">
        <v>109</v>
      </c>
      <c r="C57" s="15">
        <v>12</v>
      </c>
    </row>
    <row r="58" spans="1:4" s="13" customFormat="1" ht="12" x14ac:dyDescent="0.3">
      <c r="A58" s="440"/>
      <c r="B58" s="14" t="s">
        <v>110</v>
      </c>
      <c r="C58" s="15">
        <v>1200</v>
      </c>
    </row>
    <row r="59" spans="1:4" s="13" customFormat="1" ht="12" x14ac:dyDescent="0.3">
      <c r="A59" s="440"/>
      <c r="B59" s="11" t="s">
        <v>28</v>
      </c>
      <c r="C59" s="12"/>
    </row>
    <row r="60" spans="1:4" s="13" customFormat="1" ht="12" x14ac:dyDescent="0.3">
      <c r="A60" s="440"/>
      <c r="B60" s="14" t="s">
        <v>67</v>
      </c>
      <c r="C60" s="15"/>
    </row>
    <row r="61" spans="1:4" s="13" customFormat="1" ht="12" x14ac:dyDescent="0.3">
      <c r="A61" s="440"/>
      <c r="B61" s="14" t="s">
        <v>111</v>
      </c>
      <c r="C61" s="15"/>
    </row>
    <row r="62" spans="1:4" s="13" customFormat="1" ht="12" x14ac:dyDescent="0.3">
      <c r="A62" s="440"/>
      <c r="B62" s="11" t="s">
        <v>96</v>
      </c>
      <c r="C62" s="12">
        <v>12000</v>
      </c>
    </row>
    <row r="63" spans="1:4" s="13" customFormat="1" ht="12" x14ac:dyDescent="0.3">
      <c r="A63" s="440"/>
      <c r="B63" s="14" t="s">
        <v>109</v>
      </c>
      <c r="C63" s="15">
        <v>12</v>
      </c>
    </row>
    <row r="64" spans="1:4" s="13" customFormat="1" ht="12" x14ac:dyDescent="0.3">
      <c r="A64" s="440"/>
      <c r="B64" s="14" t="s">
        <v>110</v>
      </c>
      <c r="C64" s="15">
        <v>1000</v>
      </c>
    </row>
    <row r="65" spans="1:5" s="13" customFormat="1" ht="12" x14ac:dyDescent="0.3">
      <c r="A65" s="440"/>
      <c r="B65" s="11" t="s">
        <v>103</v>
      </c>
      <c r="C65" s="12">
        <v>31944</v>
      </c>
    </row>
    <row r="66" spans="1:5" s="13" customFormat="1" ht="12" x14ac:dyDescent="0.3">
      <c r="A66" s="440"/>
      <c r="B66" s="14" t="s">
        <v>109</v>
      </c>
      <c r="C66" s="15">
        <v>12</v>
      </c>
    </row>
    <row r="67" spans="1:5" s="13" customFormat="1" ht="12" x14ac:dyDescent="0.3">
      <c r="A67" s="440"/>
      <c r="B67" s="14" t="s">
        <v>110</v>
      </c>
      <c r="C67" s="15">
        <v>2662</v>
      </c>
    </row>
    <row r="68" spans="1:5" s="13" customFormat="1" ht="12" x14ac:dyDescent="0.3">
      <c r="A68" s="440"/>
      <c r="B68" s="11" t="s">
        <v>26</v>
      </c>
      <c r="C68" s="12"/>
    </row>
    <row r="69" spans="1:5" s="13" customFormat="1" ht="12" x14ac:dyDescent="0.3">
      <c r="A69" s="440"/>
      <c r="B69" s="14" t="s">
        <v>109</v>
      </c>
      <c r="C69" s="15"/>
    </row>
    <row r="70" spans="1:5" s="13" customFormat="1" ht="12" x14ac:dyDescent="0.3">
      <c r="A70" s="440"/>
      <c r="B70" s="14" t="s">
        <v>110</v>
      </c>
      <c r="C70" s="15"/>
    </row>
    <row r="71" spans="1:5" s="13" customFormat="1" ht="12" x14ac:dyDescent="0.3">
      <c r="A71" s="440"/>
      <c r="B71" s="22" t="s">
        <v>101</v>
      </c>
      <c r="C71" s="12">
        <v>55000</v>
      </c>
      <c r="D71" s="157">
        <v>80000</v>
      </c>
      <c r="E71" s="30">
        <f>D71-C71</f>
        <v>25000</v>
      </c>
    </row>
    <row r="72" spans="1:5" s="13" customFormat="1" ht="12" x14ac:dyDescent="0.3">
      <c r="A72" s="440"/>
      <c r="B72" s="23" t="s">
        <v>46</v>
      </c>
      <c r="C72" s="24"/>
    </row>
    <row r="73" spans="1:5" s="13" customFormat="1" ht="12" x14ac:dyDescent="0.3">
      <c r="A73" s="440"/>
      <c r="B73" s="11" t="s">
        <v>102</v>
      </c>
      <c r="C73" s="257">
        <v>38000</v>
      </c>
    </row>
    <row r="74" spans="1:5" s="13" customFormat="1" ht="12" x14ac:dyDescent="0.3">
      <c r="A74" s="440"/>
      <c r="B74" s="14" t="s">
        <v>67</v>
      </c>
      <c r="C74" s="15">
        <v>5</v>
      </c>
    </row>
    <row r="75" spans="1:5" s="13" customFormat="1" ht="12" x14ac:dyDescent="0.3">
      <c r="A75" s="440"/>
      <c r="B75" s="14" t="s">
        <v>69</v>
      </c>
      <c r="C75" s="15">
        <v>1</v>
      </c>
    </row>
    <row r="76" spans="1:5" s="13" customFormat="1" ht="12" x14ac:dyDescent="0.3">
      <c r="A76" s="440"/>
      <c r="B76" s="14" t="s">
        <v>105</v>
      </c>
      <c r="C76" s="15">
        <v>6000</v>
      </c>
    </row>
    <row r="77" spans="1:5" s="13" customFormat="1" ht="12" x14ac:dyDescent="0.3">
      <c r="A77" s="440"/>
      <c r="B77" s="11" t="s">
        <v>31</v>
      </c>
      <c r="C77" s="12">
        <v>1960</v>
      </c>
    </row>
    <row r="78" spans="1:5" s="13" customFormat="1" ht="12" x14ac:dyDescent="0.3">
      <c r="A78" s="440"/>
      <c r="B78" s="14" t="s">
        <v>109</v>
      </c>
      <c r="C78" s="15">
        <v>2</v>
      </c>
    </row>
    <row r="79" spans="1:5" s="13" customFormat="1" ht="12" x14ac:dyDescent="0.3">
      <c r="A79" s="440"/>
      <c r="B79" s="14" t="s">
        <v>110</v>
      </c>
      <c r="C79" s="15">
        <v>980</v>
      </c>
    </row>
    <row r="80" spans="1:5" s="13" customFormat="1" ht="12" x14ac:dyDescent="0.3">
      <c r="A80" s="440"/>
      <c r="B80" s="11" t="s">
        <v>32</v>
      </c>
      <c r="C80" s="12">
        <v>12000</v>
      </c>
    </row>
    <row r="81" spans="1:3" s="13" customFormat="1" ht="12" x14ac:dyDescent="0.3">
      <c r="A81" s="440"/>
      <c r="B81" s="14" t="s">
        <v>109</v>
      </c>
      <c r="C81" s="15">
        <v>12</v>
      </c>
    </row>
    <row r="82" spans="1:3" s="13" customFormat="1" ht="12" x14ac:dyDescent="0.3">
      <c r="A82" s="440"/>
      <c r="B82" s="14" t="s">
        <v>110</v>
      </c>
      <c r="C82" s="15">
        <v>1000</v>
      </c>
    </row>
    <row r="83" spans="1:3" s="13" customFormat="1" ht="12" x14ac:dyDescent="0.3">
      <c r="A83" s="440"/>
      <c r="B83" s="11" t="s">
        <v>49</v>
      </c>
      <c r="C83" s="12">
        <v>20000</v>
      </c>
    </row>
    <row r="84" spans="1:3" s="13" customFormat="1" ht="12" x14ac:dyDescent="0.3">
      <c r="A84" s="440"/>
      <c r="B84" s="14" t="s">
        <v>65</v>
      </c>
      <c r="C84" s="15"/>
    </row>
    <row r="85" spans="1:3" s="13" customFormat="1" ht="12" x14ac:dyDescent="0.3">
      <c r="A85" s="440"/>
      <c r="B85" s="14" t="s">
        <v>199</v>
      </c>
      <c r="C85" s="15">
        <v>2</v>
      </c>
    </row>
    <row r="86" spans="1:3" s="13" customFormat="1" ht="12" x14ac:dyDescent="0.3">
      <c r="A86" s="440"/>
      <c r="B86" s="14" t="s">
        <v>68</v>
      </c>
      <c r="C86" s="15"/>
    </row>
    <row r="87" spans="1:3" s="13" customFormat="1" ht="12" x14ac:dyDescent="0.3">
      <c r="A87" s="440"/>
      <c r="B87" s="14" t="s">
        <v>63</v>
      </c>
      <c r="C87" s="15">
        <v>10000</v>
      </c>
    </row>
    <row r="88" spans="1:3" s="13" customFormat="1" ht="12" x14ac:dyDescent="0.3">
      <c r="A88" s="440"/>
      <c r="B88" s="11" t="s">
        <v>33</v>
      </c>
      <c r="C88" s="12"/>
    </row>
    <row r="89" spans="1:3" s="13" customFormat="1" ht="12" x14ac:dyDescent="0.3">
      <c r="A89" s="440"/>
      <c r="B89" s="25" t="s">
        <v>43</v>
      </c>
      <c r="C89" s="24"/>
    </row>
    <row r="90" spans="1:3" s="13" customFormat="1" ht="12" x14ac:dyDescent="0.3">
      <c r="A90" s="440"/>
      <c r="B90" s="11" t="s">
        <v>51</v>
      </c>
      <c r="C90" s="12">
        <v>13905</v>
      </c>
    </row>
    <row r="91" spans="1:3" s="13" customFormat="1" ht="12" x14ac:dyDescent="0.3">
      <c r="A91" s="440"/>
      <c r="B91" s="14" t="s">
        <v>104</v>
      </c>
      <c r="C91" s="15">
        <v>45</v>
      </c>
    </row>
    <row r="92" spans="1:3" s="13" customFormat="1" ht="12" x14ac:dyDescent="0.3">
      <c r="A92" s="440"/>
      <c r="B92" s="14" t="s">
        <v>105</v>
      </c>
      <c r="C92" s="15">
        <v>309</v>
      </c>
    </row>
    <row r="93" spans="1:3" s="13" customFormat="1" ht="12" x14ac:dyDescent="0.3">
      <c r="A93" s="440"/>
      <c r="B93" s="11" t="s">
        <v>52</v>
      </c>
      <c r="C93" s="12"/>
    </row>
    <row r="94" spans="1:3" s="13" customFormat="1" ht="12" x14ac:dyDescent="0.3">
      <c r="A94" s="440"/>
      <c r="B94" s="14" t="s">
        <v>109</v>
      </c>
      <c r="C94" s="15"/>
    </row>
    <row r="95" spans="1:3" s="13" customFormat="1" ht="12" x14ac:dyDescent="0.3">
      <c r="A95" s="440"/>
      <c r="B95" s="14" t="s">
        <v>110</v>
      </c>
      <c r="C95" s="15"/>
    </row>
    <row r="96" spans="1:3" s="13" customFormat="1" ht="12" x14ac:dyDescent="0.3">
      <c r="A96" s="440"/>
      <c r="B96" s="11" t="s">
        <v>45</v>
      </c>
      <c r="C96" s="12">
        <v>50000</v>
      </c>
    </row>
    <row r="97" spans="1:3" s="13" customFormat="1" ht="12" x14ac:dyDescent="0.3">
      <c r="A97" s="440"/>
      <c r="B97" s="25" t="s">
        <v>9</v>
      </c>
      <c r="C97" s="24">
        <v>25000</v>
      </c>
    </row>
    <row r="98" spans="1:3" s="36" customFormat="1" ht="12" x14ac:dyDescent="0.3">
      <c r="A98" s="440"/>
      <c r="B98" s="28"/>
      <c r="C98" s="35"/>
    </row>
    <row r="99" spans="1:3" s="36" customFormat="1" ht="12" x14ac:dyDescent="0.3">
      <c r="A99" s="440"/>
      <c r="B99" s="28"/>
      <c r="C99" s="35"/>
    </row>
    <row r="100" spans="1:3" s="36" customFormat="1" ht="12" x14ac:dyDescent="0.3">
      <c r="A100" s="440"/>
      <c r="B100" s="28"/>
      <c r="C100" s="35"/>
    </row>
    <row r="101" spans="1:3" s="36" customFormat="1" ht="12" x14ac:dyDescent="0.3">
      <c r="A101" s="440"/>
      <c r="B101" s="28"/>
      <c r="C101" s="35"/>
    </row>
    <row r="102" spans="1:3" s="36" customFormat="1" ht="12" x14ac:dyDescent="0.3">
      <c r="A102" s="440"/>
      <c r="B102" s="28"/>
      <c r="C102" s="35"/>
    </row>
    <row r="103" spans="1:3" s="13" customFormat="1" ht="12" x14ac:dyDescent="0.3">
      <c r="A103" s="440"/>
      <c r="B103" s="16" t="s">
        <v>89</v>
      </c>
      <c r="C103" s="17">
        <v>308697.8</v>
      </c>
    </row>
    <row r="104" spans="1:3" s="13" customFormat="1" ht="12" x14ac:dyDescent="0.3">
      <c r="A104" s="434">
        <v>226</v>
      </c>
      <c r="B104" s="25" t="s">
        <v>10</v>
      </c>
      <c r="C104" s="24">
        <v>14256</v>
      </c>
    </row>
    <row r="105" spans="1:3" s="13" customFormat="1" ht="12" x14ac:dyDescent="0.3">
      <c r="A105" s="435"/>
      <c r="B105" s="11" t="s">
        <v>11</v>
      </c>
      <c r="C105" s="12">
        <v>140000</v>
      </c>
    </row>
    <row r="106" spans="1:3" s="13" customFormat="1" ht="12" x14ac:dyDescent="0.3">
      <c r="A106" s="435"/>
      <c r="B106" s="14" t="s">
        <v>68</v>
      </c>
      <c r="C106" s="15">
        <v>48</v>
      </c>
    </row>
    <row r="107" spans="1:3" s="13" customFormat="1" ht="12" x14ac:dyDescent="0.3">
      <c r="A107" s="435"/>
      <c r="B107" s="14" t="s">
        <v>112</v>
      </c>
      <c r="C107" s="15">
        <v>2915</v>
      </c>
    </row>
    <row r="108" spans="1:3" s="13" customFormat="1" ht="12" x14ac:dyDescent="0.3">
      <c r="A108" s="435"/>
      <c r="B108" s="11" t="s">
        <v>42</v>
      </c>
      <c r="C108" s="12">
        <v>8790</v>
      </c>
    </row>
    <row r="109" spans="1:3" s="13" customFormat="1" ht="12" x14ac:dyDescent="0.3">
      <c r="A109" s="435"/>
      <c r="B109" s="14" t="s">
        <v>68</v>
      </c>
      <c r="C109" s="15">
        <v>3</v>
      </c>
    </row>
    <row r="110" spans="1:3" s="13" customFormat="1" ht="12" x14ac:dyDescent="0.3">
      <c r="A110" s="435"/>
      <c r="B110" s="14" t="s">
        <v>112</v>
      </c>
      <c r="C110" s="15">
        <v>2930</v>
      </c>
    </row>
    <row r="111" spans="1:3" s="13" customFormat="1" ht="12" x14ac:dyDescent="0.3">
      <c r="A111" s="435"/>
      <c r="B111" s="11" t="s">
        <v>12</v>
      </c>
      <c r="C111" s="12">
        <v>48000</v>
      </c>
    </row>
    <row r="112" spans="1:3" s="13" customFormat="1" ht="12" x14ac:dyDescent="0.3">
      <c r="A112" s="435"/>
      <c r="B112" s="14" t="s">
        <v>109</v>
      </c>
      <c r="C112" s="15">
        <v>12</v>
      </c>
    </row>
    <row r="113" spans="1:3" s="13" customFormat="1" ht="12" x14ac:dyDescent="0.3">
      <c r="A113" s="435"/>
      <c r="B113" s="14" t="s">
        <v>110</v>
      </c>
      <c r="C113" s="15">
        <v>4000</v>
      </c>
    </row>
    <row r="114" spans="1:3" s="13" customFormat="1" ht="12" x14ac:dyDescent="0.3">
      <c r="A114" s="435"/>
      <c r="B114" s="11" t="s">
        <v>36</v>
      </c>
      <c r="C114" s="12">
        <v>25000</v>
      </c>
    </row>
    <row r="115" spans="1:3" s="13" customFormat="1" ht="12" x14ac:dyDescent="0.3">
      <c r="A115" s="435"/>
      <c r="B115" s="14" t="s">
        <v>109</v>
      </c>
      <c r="C115" s="15">
        <v>10</v>
      </c>
    </row>
    <row r="116" spans="1:3" s="13" customFormat="1" ht="12" x14ac:dyDescent="0.3">
      <c r="A116" s="435"/>
      <c r="B116" s="14" t="s">
        <v>110</v>
      </c>
      <c r="C116" s="15">
        <v>2500</v>
      </c>
    </row>
    <row r="117" spans="1:3" s="13" customFormat="1" ht="12" x14ac:dyDescent="0.3">
      <c r="A117" s="435"/>
      <c r="B117" s="11" t="s">
        <v>113</v>
      </c>
      <c r="C117" s="12">
        <v>6000</v>
      </c>
    </row>
    <row r="118" spans="1:3" s="13" customFormat="1" ht="12" x14ac:dyDescent="0.3">
      <c r="A118" s="435"/>
      <c r="B118" s="14" t="s">
        <v>109</v>
      </c>
      <c r="C118" s="15"/>
    </row>
    <row r="119" spans="1:3" s="13" customFormat="1" ht="12" x14ac:dyDescent="0.3">
      <c r="A119" s="435"/>
      <c r="B119" s="14" t="s">
        <v>110</v>
      </c>
      <c r="C119" s="15">
        <v>6000</v>
      </c>
    </row>
    <row r="120" spans="1:3" s="13" customFormat="1" ht="12" x14ac:dyDescent="0.3">
      <c r="A120" s="435"/>
      <c r="B120" s="11" t="s">
        <v>41</v>
      </c>
      <c r="C120" s="12">
        <v>6250</v>
      </c>
    </row>
    <row r="121" spans="1:3" s="13" customFormat="1" ht="12" x14ac:dyDescent="0.3">
      <c r="A121" s="435"/>
      <c r="B121" s="14" t="s">
        <v>66</v>
      </c>
      <c r="C121" s="15"/>
    </row>
    <row r="122" spans="1:3" s="13" customFormat="1" ht="12" x14ac:dyDescent="0.3">
      <c r="A122" s="435"/>
      <c r="B122" s="14" t="s">
        <v>63</v>
      </c>
      <c r="C122" s="15"/>
    </row>
    <row r="123" spans="1:3" s="13" customFormat="1" ht="12" x14ac:dyDescent="0.3">
      <c r="A123" s="435"/>
      <c r="B123" s="11" t="s">
        <v>40</v>
      </c>
      <c r="C123" s="12"/>
    </row>
    <row r="124" spans="1:3" s="13" customFormat="1" ht="12" x14ac:dyDescent="0.3">
      <c r="A124" s="435"/>
      <c r="B124" s="14" t="s">
        <v>66</v>
      </c>
      <c r="C124" s="15"/>
    </row>
    <row r="125" spans="1:3" s="13" customFormat="1" ht="12" x14ac:dyDescent="0.3">
      <c r="A125" s="435"/>
      <c r="B125" s="14" t="s">
        <v>63</v>
      </c>
      <c r="C125" s="15"/>
    </row>
    <row r="126" spans="1:3" s="13" customFormat="1" ht="12" x14ac:dyDescent="0.3">
      <c r="A126" s="435"/>
      <c r="B126" s="11" t="s">
        <v>37</v>
      </c>
      <c r="C126" s="12">
        <v>1000</v>
      </c>
    </row>
    <row r="127" spans="1:3" s="13" customFormat="1" ht="12" x14ac:dyDescent="0.3">
      <c r="A127" s="435"/>
      <c r="B127" s="25" t="s">
        <v>44</v>
      </c>
      <c r="C127" s="24">
        <v>4370</v>
      </c>
    </row>
    <row r="128" spans="1:3" s="13" customFormat="1" ht="12" x14ac:dyDescent="0.3">
      <c r="A128" s="435"/>
      <c r="B128" s="14" t="s">
        <v>66</v>
      </c>
      <c r="C128" s="15">
        <v>38</v>
      </c>
    </row>
    <row r="129" spans="1:4" s="13" customFormat="1" ht="12" x14ac:dyDescent="0.3">
      <c r="A129" s="435"/>
      <c r="B129" s="14" t="s">
        <v>63</v>
      </c>
      <c r="C129" s="15">
        <v>115</v>
      </c>
    </row>
    <row r="130" spans="1:4" s="13" customFormat="1" ht="12" x14ac:dyDescent="0.3">
      <c r="A130" s="435"/>
      <c r="B130" s="25" t="s">
        <v>13</v>
      </c>
      <c r="C130" s="24">
        <v>11000</v>
      </c>
    </row>
    <row r="131" spans="1:4" s="13" customFormat="1" ht="12" x14ac:dyDescent="0.3">
      <c r="A131" s="435"/>
      <c r="B131" s="11" t="s">
        <v>14</v>
      </c>
      <c r="C131" s="12">
        <v>19680</v>
      </c>
    </row>
    <row r="132" spans="1:4" s="13" customFormat="1" ht="12" x14ac:dyDescent="0.3">
      <c r="A132" s="435"/>
      <c r="B132" s="25" t="s">
        <v>30</v>
      </c>
      <c r="C132" s="24">
        <v>7470</v>
      </c>
    </row>
    <row r="133" spans="1:4" s="157" customFormat="1" ht="12" x14ac:dyDescent="0.3">
      <c r="A133" s="435"/>
      <c r="B133" s="22" t="s">
        <v>48</v>
      </c>
      <c r="C133" s="257">
        <v>5699.4</v>
      </c>
      <c r="D133" s="157" t="s">
        <v>181</v>
      </c>
    </row>
    <row r="134" spans="1:4" s="13" customFormat="1" ht="12" x14ac:dyDescent="0.3">
      <c r="A134" s="435"/>
      <c r="B134" s="14" t="s">
        <v>66</v>
      </c>
      <c r="C134" s="15">
        <v>1</v>
      </c>
    </row>
    <row r="135" spans="1:4" s="13" customFormat="1" ht="12" x14ac:dyDescent="0.3">
      <c r="A135" s="435"/>
      <c r="B135" s="14" t="s">
        <v>63</v>
      </c>
      <c r="C135" s="15">
        <v>5699.4</v>
      </c>
    </row>
    <row r="136" spans="1:4" s="13" customFormat="1" ht="12" x14ac:dyDescent="0.3">
      <c r="A136" s="435"/>
      <c r="B136" s="11" t="s">
        <v>15</v>
      </c>
      <c r="C136" s="12">
        <v>1000</v>
      </c>
    </row>
    <row r="137" spans="1:4" s="13" customFormat="1" ht="12" x14ac:dyDescent="0.3">
      <c r="A137" s="435"/>
      <c r="B137" s="25" t="s">
        <v>16</v>
      </c>
      <c r="C137" s="24">
        <v>28500</v>
      </c>
    </row>
    <row r="138" spans="1:4" s="13" customFormat="1" ht="12" x14ac:dyDescent="0.3">
      <c r="A138" s="435"/>
      <c r="B138" s="14" t="s">
        <v>66</v>
      </c>
      <c r="C138" s="15">
        <v>5</v>
      </c>
    </row>
    <row r="139" spans="1:4" s="13" customFormat="1" ht="12" x14ac:dyDescent="0.3">
      <c r="A139" s="435"/>
      <c r="B139" s="14" t="s">
        <v>112</v>
      </c>
      <c r="C139" s="15">
        <v>5700</v>
      </c>
    </row>
    <row r="140" spans="1:4" s="13" customFormat="1" ht="12" x14ac:dyDescent="0.3">
      <c r="A140" s="435"/>
      <c r="B140" s="11" t="s">
        <v>34</v>
      </c>
      <c r="C140" s="12">
        <v>18831</v>
      </c>
    </row>
    <row r="141" spans="1:4" s="13" customFormat="1" ht="12" x14ac:dyDescent="0.3">
      <c r="A141" s="435"/>
      <c r="B141" s="14" t="s">
        <v>66</v>
      </c>
      <c r="C141" s="15">
        <v>22</v>
      </c>
    </row>
    <row r="142" spans="1:4" s="13" customFormat="1" ht="12" x14ac:dyDescent="0.3">
      <c r="A142" s="435"/>
      <c r="B142" s="14" t="s">
        <v>63</v>
      </c>
      <c r="C142" s="15">
        <v>13146.27</v>
      </c>
    </row>
    <row r="143" spans="1:4" s="13" customFormat="1" ht="12" x14ac:dyDescent="0.3">
      <c r="A143" s="435"/>
      <c r="B143" s="14" t="s">
        <v>66</v>
      </c>
      <c r="C143" s="15">
        <v>1</v>
      </c>
    </row>
    <row r="144" spans="1:4" s="13" customFormat="1" ht="12" x14ac:dyDescent="0.3">
      <c r="A144" s="435"/>
      <c r="B144" s="14" t="s">
        <v>63</v>
      </c>
      <c r="C144" s="15">
        <v>5684.58</v>
      </c>
    </row>
    <row r="145" spans="1:3" s="13" customFormat="1" ht="12" x14ac:dyDescent="0.3">
      <c r="A145" s="435"/>
      <c r="B145" s="11" t="s">
        <v>35</v>
      </c>
      <c r="C145" s="12">
        <v>42000</v>
      </c>
    </row>
    <row r="146" spans="1:3" s="13" customFormat="1" ht="12" x14ac:dyDescent="0.3">
      <c r="A146" s="435"/>
      <c r="B146" s="14" t="s">
        <v>64</v>
      </c>
      <c r="C146" s="15"/>
    </row>
    <row r="147" spans="1:3" s="13" customFormat="1" ht="12" x14ac:dyDescent="0.3">
      <c r="A147" s="435"/>
      <c r="B147" s="14" t="s">
        <v>114</v>
      </c>
      <c r="C147" s="15">
        <v>12</v>
      </c>
    </row>
    <row r="148" spans="1:3" s="13" customFormat="1" ht="12" x14ac:dyDescent="0.3">
      <c r="A148" s="435"/>
      <c r="B148" s="14" t="s">
        <v>68</v>
      </c>
      <c r="C148" s="15"/>
    </row>
    <row r="149" spans="1:3" s="13" customFormat="1" ht="12" x14ac:dyDescent="0.3">
      <c r="A149" s="435"/>
      <c r="B149" s="14" t="s">
        <v>63</v>
      </c>
      <c r="C149" s="15">
        <v>3500</v>
      </c>
    </row>
    <row r="150" spans="1:3" s="13" customFormat="1" ht="12" x14ac:dyDescent="0.3">
      <c r="A150" s="435"/>
      <c r="B150" s="11" t="s">
        <v>50</v>
      </c>
      <c r="C150" s="12">
        <v>15890</v>
      </c>
    </row>
    <row r="151" spans="1:3" s="13" customFormat="1" ht="12" x14ac:dyDescent="0.3">
      <c r="A151" s="435"/>
      <c r="B151" s="14" t="s">
        <v>64</v>
      </c>
      <c r="C151" s="15">
        <v>227</v>
      </c>
    </row>
    <row r="152" spans="1:3" s="13" customFormat="1" ht="12" x14ac:dyDescent="0.3">
      <c r="A152" s="435"/>
      <c r="B152" s="14" t="s">
        <v>68</v>
      </c>
      <c r="C152" s="15"/>
    </row>
    <row r="153" spans="1:3" s="13" customFormat="1" ht="12" x14ac:dyDescent="0.3">
      <c r="A153" s="435"/>
      <c r="B153" s="14" t="s">
        <v>63</v>
      </c>
      <c r="C153" s="15">
        <v>70</v>
      </c>
    </row>
    <row r="154" spans="1:3" s="26" customFormat="1" ht="11.4" x14ac:dyDescent="0.3">
      <c r="A154" s="435"/>
      <c r="B154" s="11" t="s">
        <v>47</v>
      </c>
      <c r="C154" s="12">
        <v>15000</v>
      </c>
    </row>
    <row r="155" spans="1:3" s="26" customFormat="1" ht="11.4" x14ac:dyDescent="0.3">
      <c r="A155" s="435"/>
      <c r="B155" s="25" t="s">
        <v>27</v>
      </c>
      <c r="C155" s="24">
        <v>29280</v>
      </c>
    </row>
    <row r="156" spans="1:3" s="13" customFormat="1" ht="12" x14ac:dyDescent="0.3">
      <c r="A156" s="435"/>
      <c r="B156" s="14" t="s">
        <v>114</v>
      </c>
      <c r="C156" s="15">
        <v>12</v>
      </c>
    </row>
    <row r="157" spans="1:3" s="13" customFormat="1" ht="12" x14ac:dyDescent="0.3">
      <c r="A157" s="435"/>
      <c r="B157" s="14" t="s">
        <v>110</v>
      </c>
      <c r="C157" s="15">
        <v>2440</v>
      </c>
    </row>
    <row r="158" spans="1:3" s="26" customFormat="1" ht="11.4" x14ac:dyDescent="0.3">
      <c r="A158" s="435"/>
      <c r="B158" s="11" t="s">
        <v>17</v>
      </c>
      <c r="C158" s="12"/>
    </row>
    <row r="159" spans="1:3" s="13" customFormat="1" ht="12" x14ac:dyDescent="0.3">
      <c r="A159" s="435"/>
      <c r="B159" s="14" t="s">
        <v>114</v>
      </c>
      <c r="C159" s="15"/>
    </row>
    <row r="160" spans="1:3" s="13" customFormat="1" ht="12" x14ac:dyDescent="0.3">
      <c r="A160" s="435"/>
      <c r="B160" s="14" t="s">
        <v>110</v>
      </c>
      <c r="C160" s="15"/>
    </row>
    <row r="161" spans="1:3" s="26" customFormat="1" ht="11.4" x14ac:dyDescent="0.3">
      <c r="A161" s="435"/>
      <c r="B161" s="11" t="s">
        <v>18</v>
      </c>
      <c r="C161" s="12">
        <v>2980</v>
      </c>
    </row>
    <row r="162" spans="1:3" s="13" customFormat="1" ht="12" x14ac:dyDescent="0.3">
      <c r="A162" s="435"/>
      <c r="B162" s="14" t="s">
        <v>66</v>
      </c>
      <c r="C162" s="15">
        <v>200</v>
      </c>
    </row>
    <row r="163" spans="1:3" s="13" customFormat="1" ht="12" x14ac:dyDescent="0.3">
      <c r="A163" s="435"/>
      <c r="B163" s="14" t="s">
        <v>63</v>
      </c>
      <c r="C163" s="15">
        <v>14.9</v>
      </c>
    </row>
    <row r="164" spans="1:3" s="26" customFormat="1" ht="11.4" x14ac:dyDescent="0.3">
      <c r="A164" s="435"/>
      <c r="B164" s="11" t="s">
        <v>19</v>
      </c>
      <c r="C164" s="12">
        <v>8000</v>
      </c>
    </row>
    <row r="165" spans="1:3" s="13" customFormat="1" ht="12" x14ac:dyDescent="0.3">
      <c r="A165" s="435"/>
      <c r="B165" s="14" t="s">
        <v>66</v>
      </c>
      <c r="C165" s="15">
        <v>4</v>
      </c>
    </row>
    <row r="166" spans="1:3" s="13" customFormat="1" ht="12" x14ac:dyDescent="0.3">
      <c r="A166" s="435"/>
      <c r="B166" s="14" t="s">
        <v>63</v>
      </c>
      <c r="C166" s="15">
        <v>2000</v>
      </c>
    </row>
    <row r="167" spans="1:3" s="26" customFormat="1" ht="11.4" x14ac:dyDescent="0.3">
      <c r="A167" s="436"/>
      <c r="B167" s="16" t="s">
        <v>88</v>
      </c>
      <c r="C167" s="17">
        <v>458996.4</v>
      </c>
    </row>
    <row r="168" spans="1:3" s="13" customFormat="1" ht="12" x14ac:dyDescent="0.3">
      <c r="A168" s="440">
        <v>290</v>
      </c>
      <c r="B168" s="27" t="s">
        <v>20</v>
      </c>
      <c r="C168" s="15">
        <v>960000</v>
      </c>
    </row>
    <row r="169" spans="1:3" s="13" customFormat="1" ht="12" x14ac:dyDescent="0.3">
      <c r="A169" s="440"/>
      <c r="B169" s="27" t="s">
        <v>21</v>
      </c>
      <c r="C169" s="15">
        <v>145000</v>
      </c>
    </row>
    <row r="170" spans="1:3" s="26" customFormat="1" ht="11.4" x14ac:dyDescent="0.3">
      <c r="A170" s="440"/>
      <c r="B170" s="16" t="s">
        <v>87</v>
      </c>
      <c r="C170" s="17">
        <v>1105000</v>
      </c>
    </row>
    <row r="171" spans="1:3" s="26" customFormat="1" ht="11.4" x14ac:dyDescent="0.3">
      <c r="A171" s="434">
        <v>340</v>
      </c>
      <c r="B171" s="11" t="s">
        <v>115</v>
      </c>
      <c r="C171" s="12">
        <v>469200</v>
      </c>
    </row>
    <row r="172" spans="1:3" s="13" customFormat="1" ht="12" x14ac:dyDescent="0.3">
      <c r="A172" s="435"/>
      <c r="B172" s="27" t="s">
        <v>75</v>
      </c>
      <c r="C172" s="15">
        <v>138</v>
      </c>
    </row>
    <row r="173" spans="1:3" s="13" customFormat="1" ht="12" x14ac:dyDescent="0.3">
      <c r="A173" s="435"/>
      <c r="B173" s="27" t="s">
        <v>76</v>
      </c>
      <c r="C173" s="15">
        <v>20</v>
      </c>
    </row>
    <row r="174" spans="1:3" s="13" customFormat="1" ht="12" x14ac:dyDescent="0.3">
      <c r="A174" s="435"/>
      <c r="B174" s="27" t="s">
        <v>77</v>
      </c>
      <c r="C174" s="15">
        <v>170</v>
      </c>
    </row>
    <row r="175" spans="1:3" s="26" customFormat="1" ht="11.4" x14ac:dyDescent="0.3">
      <c r="A175" s="435"/>
      <c r="B175" s="11" t="s">
        <v>78</v>
      </c>
      <c r="C175" s="12"/>
    </row>
    <row r="176" spans="1:3" s="13" customFormat="1" ht="12" x14ac:dyDescent="0.3">
      <c r="A176" s="435"/>
      <c r="B176" s="27" t="s">
        <v>75</v>
      </c>
      <c r="C176" s="15"/>
    </row>
    <row r="177" spans="1:6" s="13" customFormat="1" ht="12" x14ac:dyDescent="0.3">
      <c r="A177" s="435"/>
      <c r="B177" s="27" t="s">
        <v>76</v>
      </c>
      <c r="C177" s="15"/>
    </row>
    <row r="178" spans="1:6" s="13" customFormat="1" ht="12" x14ac:dyDescent="0.3">
      <c r="A178" s="435"/>
      <c r="B178" s="27" t="s">
        <v>77</v>
      </c>
      <c r="C178" s="15"/>
    </row>
    <row r="179" spans="1:6" s="26" customFormat="1" ht="11.4" x14ac:dyDescent="0.3">
      <c r="A179" s="435"/>
      <c r="B179" s="11" t="s">
        <v>74</v>
      </c>
      <c r="C179" s="12">
        <v>122400</v>
      </c>
    </row>
    <row r="180" spans="1:6" s="13" customFormat="1" ht="12" x14ac:dyDescent="0.3">
      <c r="A180" s="435"/>
      <c r="B180" s="27" t="s">
        <v>75</v>
      </c>
      <c r="C180" s="15">
        <v>36</v>
      </c>
    </row>
    <row r="181" spans="1:6" s="13" customFormat="1" ht="12" x14ac:dyDescent="0.3">
      <c r="A181" s="435"/>
      <c r="B181" s="27" t="s">
        <v>76</v>
      </c>
      <c r="C181" s="15">
        <v>20</v>
      </c>
    </row>
    <row r="182" spans="1:6" s="13" customFormat="1" ht="12" x14ac:dyDescent="0.3">
      <c r="A182" s="435"/>
      <c r="B182" s="27" t="s">
        <v>77</v>
      </c>
      <c r="C182" s="15">
        <v>170</v>
      </c>
    </row>
    <row r="183" spans="1:6" s="26" customFormat="1" ht="11.4" x14ac:dyDescent="0.3">
      <c r="A183" s="435"/>
      <c r="B183" s="11" t="s">
        <v>71</v>
      </c>
      <c r="C183" s="12">
        <v>103950</v>
      </c>
    </row>
    <row r="184" spans="1:6" s="26" customFormat="1" ht="11.4" x14ac:dyDescent="0.3">
      <c r="A184" s="435"/>
      <c r="B184" s="25" t="s">
        <v>39</v>
      </c>
      <c r="C184" s="24">
        <v>50000</v>
      </c>
    </row>
    <row r="185" spans="1:6" s="26" customFormat="1" ht="5.25" customHeight="1" x14ac:dyDescent="0.3">
      <c r="A185" s="435"/>
      <c r="B185" s="25"/>
      <c r="C185" s="24"/>
    </row>
    <row r="186" spans="1:6" s="26" customFormat="1" ht="5.25" customHeight="1" x14ac:dyDescent="0.3">
      <c r="A186" s="435"/>
      <c r="B186" s="25"/>
      <c r="C186" s="24"/>
    </row>
    <row r="187" spans="1:6" s="26" customFormat="1" ht="5.25" customHeight="1" x14ac:dyDescent="0.3">
      <c r="A187" s="435"/>
      <c r="B187" s="25"/>
      <c r="C187" s="24"/>
    </row>
    <row r="188" spans="1:6" s="26" customFormat="1" ht="5.25" customHeight="1" x14ac:dyDescent="0.3">
      <c r="A188" s="435"/>
      <c r="B188" s="25"/>
      <c r="C188" s="24"/>
      <c r="F188" s="31"/>
    </row>
    <row r="189" spans="1:6" s="26" customFormat="1" ht="5.25" customHeight="1" x14ac:dyDescent="0.3">
      <c r="A189" s="435"/>
      <c r="B189" s="25"/>
      <c r="C189" s="24"/>
    </row>
    <row r="190" spans="1:6" s="26" customFormat="1" ht="5.25" customHeight="1" x14ac:dyDescent="0.3">
      <c r="A190" s="435"/>
      <c r="B190" s="25"/>
      <c r="C190" s="24"/>
    </row>
    <row r="191" spans="1:6" s="26" customFormat="1" ht="11.4" x14ac:dyDescent="0.3">
      <c r="A191" s="435"/>
      <c r="B191" s="11" t="s">
        <v>22</v>
      </c>
      <c r="C191" s="12">
        <v>50000</v>
      </c>
    </row>
    <row r="192" spans="1:6" s="26" customFormat="1" ht="5.25" customHeight="1" x14ac:dyDescent="0.3">
      <c r="A192" s="435"/>
      <c r="B192" s="25"/>
      <c r="C192" s="24"/>
    </row>
    <row r="193" spans="1:4" s="26" customFormat="1" ht="11.4" x14ac:dyDescent="0.3">
      <c r="A193" s="435"/>
      <c r="B193" s="25"/>
      <c r="C193" s="24"/>
    </row>
    <row r="194" spans="1:4" s="26" customFormat="1" ht="11.4" x14ac:dyDescent="0.3">
      <c r="A194" s="435"/>
      <c r="B194" s="25"/>
      <c r="C194" s="24"/>
    </row>
    <row r="195" spans="1:4" s="26" customFormat="1" ht="11.4" x14ac:dyDescent="0.3">
      <c r="A195" s="435"/>
      <c r="B195" s="25"/>
      <c r="C195" s="24"/>
    </row>
    <row r="196" spans="1:4" s="26" customFormat="1" ht="11.4" x14ac:dyDescent="0.3">
      <c r="A196" s="435"/>
      <c r="B196" s="25"/>
      <c r="C196" s="24"/>
    </row>
    <row r="197" spans="1:4" s="26" customFormat="1" ht="11.4" x14ac:dyDescent="0.3">
      <c r="A197" s="435"/>
      <c r="B197" s="25"/>
      <c r="C197" s="24"/>
    </row>
    <row r="198" spans="1:4" s="26" customFormat="1" ht="11.4" x14ac:dyDescent="0.3">
      <c r="A198" s="435"/>
      <c r="B198" s="25" t="s">
        <v>72</v>
      </c>
      <c r="C198" s="24">
        <v>15000</v>
      </c>
    </row>
    <row r="199" spans="1:4" s="26" customFormat="1" ht="11.4" x14ac:dyDescent="0.3">
      <c r="A199" s="435"/>
      <c r="B199" s="25"/>
      <c r="C199" s="24"/>
    </row>
    <row r="200" spans="1:4" s="26" customFormat="1" ht="11.4" x14ac:dyDescent="0.3">
      <c r="A200" s="435"/>
      <c r="B200" s="25"/>
      <c r="C200" s="24"/>
    </row>
    <row r="201" spans="1:4" s="26" customFormat="1" ht="11.4" x14ac:dyDescent="0.3">
      <c r="A201" s="435"/>
      <c r="B201" s="25"/>
      <c r="C201" s="24"/>
    </row>
    <row r="202" spans="1:4" s="26" customFormat="1" ht="11.4" x14ac:dyDescent="0.3">
      <c r="A202" s="435"/>
      <c r="B202" s="25"/>
      <c r="C202" s="24"/>
    </row>
    <row r="203" spans="1:4" s="26" customFormat="1" ht="11.4" x14ac:dyDescent="0.3">
      <c r="A203" s="435"/>
      <c r="B203" s="25"/>
      <c r="C203" s="24"/>
    </row>
    <row r="204" spans="1:4" s="26" customFormat="1" ht="11.4" x14ac:dyDescent="0.3">
      <c r="A204" s="435"/>
      <c r="B204" s="25"/>
      <c r="C204" s="24"/>
    </row>
    <row r="205" spans="1:4" s="26" customFormat="1" ht="11.4" x14ac:dyDescent="0.3">
      <c r="A205" s="435"/>
      <c r="B205" s="11" t="s">
        <v>53</v>
      </c>
      <c r="C205" s="12"/>
    </row>
    <row r="206" spans="1:4" s="26" customFormat="1" ht="11.4" x14ac:dyDescent="0.3">
      <c r="A206" s="435"/>
      <c r="B206" s="25" t="s">
        <v>73</v>
      </c>
      <c r="C206" s="24"/>
    </row>
    <row r="207" spans="1:4" s="26" customFormat="1" ht="11.4" x14ac:dyDescent="0.3">
      <c r="A207" s="435"/>
      <c r="B207" s="11" t="s">
        <v>38</v>
      </c>
      <c r="C207" s="12">
        <v>248863</v>
      </c>
      <c r="D207" s="155">
        <f>C171+C179+C183+C184+C191+C198+C207</f>
        <v>1059413</v>
      </c>
    </row>
    <row r="208" spans="1:4" s="13" customFormat="1" ht="12" x14ac:dyDescent="0.3">
      <c r="A208" s="435"/>
      <c r="B208" s="27" t="s">
        <v>117</v>
      </c>
      <c r="C208" s="15">
        <v>21225</v>
      </c>
    </row>
    <row r="209" spans="1:4" s="13" customFormat="1" ht="12" x14ac:dyDescent="0.3">
      <c r="A209" s="435"/>
      <c r="B209" s="27" t="s">
        <v>118</v>
      </c>
      <c r="C209" s="15">
        <v>33.5</v>
      </c>
    </row>
    <row r="210" spans="1:4" s="13" customFormat="1" ht="12" x14ac:dyDescent="0.3">
      <c r="A210" s="435"/>
      <c r="B210" s="27" t="s">
        <v>85</v>
      </c>
      <c r="C210" s="15">
        <v>7110.37</v>
      </c>
    </row>
    <row r="211" spans="1:4" s="13" customFormat="1" ht="12" x14ac:dyDescent="0.3">
      <c r="A211" s="435"/>
      <c r="B211" s="27" t="s">
        <v>116</v>
      </c>
      <c r="C211" s="15">
        <v>35</v>
      </c>
    </row>
    <row r="212" spans="1:4" s="26" customFormat="1" ht="11.4" x14ac:dyDescent="0.3">
      <c r="A212" s="435"/>
      <c r="B212" s="11" t="s">
        <v>23</v>
      </c>
      <c r="C212" s="12"/>
    </row>
    <row r="213" spans="1:4" s="13" customFormat="1" ht="12" x14ac:dyDescent="0.3">
      <c r="A213" s="435"/>
      <c r="B213" s="27" t="s">
        <v>67</v>
      </c>
      <c r="C213" s="15"/>
    </row>
    <row r="214" spans="1:4" s="13" customFormat="1" ht="12" x14ac:dyDescent="0.3">
      <c r="A214" s="435"/>
      <c r="B214" s="27" t="s">
        <v>119</v>
      </c>
      <c r="C214" s="15"/>
    </row>
    <row r="215" spans="1:4" s="26" customFormat="1" ht="11.4" x14ac:dyDescent="0.3">
      <c r="A215" s="435"/>
      <c r="B215" s="11" t="s">
        <v>24</v>
      </c>
      <c r="C215" s="29"/>
    </row>
    <row r="216" spans="1:4" s="13" customFormat="1" ht="12" x14ac:dyDescent="0.3">
      <c r="A216" s="435"/>
      <c r="B216" s="27" t="s">
        <v>67</v>
      </c>
      <c r="C216" s="15"/>
    </row>
    <row r="217" spans="1:4" s="13" customFormat="1" ht="12" x14ac:dyDescent="0.3">
      <c r="A217" s="435"/>
      <c r="B217" s="27" t="s">
        <v>120</v>
      </c>
      <c r="C217" s="15"/>
    </row>
    <row r="218" spans="1:4" s="13" customFormat="1" ht="12" x14ac:dyDescent="0.3">
      <c r="A218" s="436"/>
      <c r="B218" s="16" t="s">
        <v>86</v>
      </c>
      <c r="C218" s="17">
        <v>1059413</v>
      </c>
      <c r="D218" s="30"/>
    </row>
    <row r="219" spans="1:4" s="31" customFormat="1" ht="14.4" x14ac:dyDescent="0.3">
      <c r="A219" s="438" t="s">
        <v>121</v>
      </c>
      <c r="B219" s="439"/>
      <c r="C219" s="34">
        <v>5185690</v>
      </c>
    </row>
    <row r="220" spans="1:4" s="31" customFormat="1" ht="14.4" x14ac:dyDescent="0.3">
      <c r="A220" s="438" t="s">
        <v>122</v>
      </c>
      <c r="B220" s="439"/>
      <c r="C220" s="34"/>
    </row>
    <row r="221" spans="1:4" s="31" customFormat="1" ht="14.4" x14ac:dyDescent="0.3">
      <c r="A221" s="438" t="s">
        <v>123</v>
      </c>
      <c r="B221" s="439"/>
      <c r="C221" s="34"/>
    </row>
    <row r="222" spans="1:4" s="31" customFormat="1" x14ac:dyDescent="0.3">
      <c r="A222" s="5"/>
      <c r="B222" s="33"/>
      <c r="C222" s="32"/>
    </row>
    <row r="223" spans="1:4" s="31" customFormat="1" x14ac:dyDescent="0.3">
      <c r="A223" s="5"/>
      <c r="B223" s="31" t="s">
        <v>200</v>
      </c>
      <c r="C223" s="32"/>
    </row>
    <row r="224" spans="1:4" s="31" customFormat="1" x14ac:dyDescent="0.3">
      <c r="A224" s="5"/>
      <c r="B224" s="33"/>
      <c r="C224" s="32"/>
    </row>
    <row r="225" spans="1:3" s="31" customFormat="1" ht="5.25" customHeight="1" x14ac:dyDescent="0.3">
      <c r="A225" s="5"/>
      <c r="B225" s="471" t="s">
        <v>201</v>
      </c>
      <c r="C225" s="471"/>
    </row>
    <row r="226" spans="1:3" s="31" customFormat="1" ht="5.25" customHeight="1" x14ac:dyDescent="0.3">
      <c r="A226" s="5"/>
      <c r="B226" s="33"/>
      <c r="C226" s="32"/>
    </row>
    <row r="227" spans="1:3" s="31" customFormat="1" x14ac:dyDescent="0.3">
      <c r="A227" s="5"/>
      <c r="C227" s="32"/>
    </row>
    <row r="228" spans="1:3" s="31" customFormat="1" x14ac:dyDescent="0.3">
      <c r="A228" s="5"/>
      <c r="C228" s="32"/>
    </row>
    <row r="229" spans="1:3" s="31" customFormat="1" x14ac:dyDescent="0.3">
      <c r="A229" s="5"/>
      <c r="C229" s="32"/>
    </row>
    <row r="230" spans="1:3" s="31" customFormat="1" x14ac:dyDescent="0.3">
      <c r="A230" s="5"/>
      <c r="C230" s="32"/>
    </row>
    <row r="231" spans="1:3" s="31" customFormat="1" x14ac:dyDescent="0.3">
      <c r="A231" s="5"/>
      <c r="C231" s="32"/>
    </row>
    <row r="232" spans="1:3" s="31" customFormat="1" x14ac:dyDescent="0.3">
      <c r="A232" s="5"/>
      <c r="C232" s="32"/>
    </row>
    <row r="233" spans="1:3" s="31" customFormat="1" x14ac:dyDescent="0.3">
      <c r="A233" s="5"/>
      <c r="C233" s="32"/>
    </row>
    <row r="234" spans="1:3" s="31" customFormat="1" x14ac:dyDescent="0.3">
      <c r="A234" s="5"/>
      <c r="C234" s="32"/>
    </row>
    <row r="235" spans="1:3" s="31" customFormat="1" x14ac:dyDescent="0.3">
      <c r="A235" s="5"/>
      <c r="C235" s="32"/>
    </row>
    <row r="236" spans="1:3" s="31" customFormat="1" x14ac:dyDescent="0.3">
      <c r="A236" s="5"/>
      <c r="C236" s="32"/>
    </row>
    <row r="237" spans="1:3" s="31" customFormat="1" x14ac:dyDescent="0.3">
      <c r="A237" s="5"/>
      <c r="C237" s="32"/>
    </row>
    <row r="238" spans="1:3" s="31" customFormat="1" x14ac:dyDescent="0.3">
      <c r="A238" s="5"/>
      <c r="C238" s="32"/>
    </row>
    <row r="239" spans="1:3" s="31" customFormat="1" x14ac:dyDescent="0.3">
      <c r="A239" s="5"/>
      <c r="C239" s="32"/>
    </row>
    <row r="240" spans="1:3" s="31" customFormat="1" ht="18.75" customHeight="1" x14ac:dyDescent="0.3">
      <c r="A240" s="5"/>
      <c r="C240" s="32"/>
    </row>
    <row r="241" spans="1:3" s="31" customFormat="1" x14ac:dyDescent="0.3">
      <c r="A241" s="5"/>
      <c r="C241" s="32"/>
    </row>
    <row r="242" spans="1:3" s="31" customFormat="1" x14ac:dyDescent="0.3">
      <c r="A242" s="5"/>
      <c r="C242" s="32"/>
    </row>
    <row r="243" spans="1:3" s="31" customFormat="1" x14ac:dyDescent="0.3">
      <c r="A243" s="5"/>
      <c r="C243" s="32"/>
    </row>
    <row r="244" spans="1:3" s="31" customFormat="1" x14ac:dyDescent="0.3">
      <c r="A244" s="5"/>
      <c r="C244" s="32"/>
    </row>
    <row r="245" spans="1:3" s="31" customFormat="1" x14ac:dyDescent="0.3">
      <c r="A245" s="5"/>
      <c r="C245" s="32"/>
    </row>
    <row r="246" spans="1:3" s="31" customFormat="1" x14ac:dyDescent="0.3">
      <c r="A246" s="5"/>
      <c r="C246" s="32"/>
    </row>
    <row r="247" spans="1:3" s="31" customFormat="1" x14ac:dyDescent="0.3">
      <c r="A247" s="5"/>
      <c r="C247" s="32"/>
    </row>
    <row r="248" spans="1:3" s="31" customFormat="1" x14ac:dyDescent="0.3">
      <c r="A248" s="5"/>
      <c r="C248" s="32"/>
    </row>
    <row r="249" spans="1:3" s="31" customFormat="1" x14ac:dyDescent="0.3">
      <c r="A249" s="5"/>
      <c r="C249" s="32"/>
    </row>
    <row r="250" spans="1:3" s="31" customFormat="1" x14ac:dyDescent="0.3">
      <c r="A250" s="5"/>
      <c r="C250" s="32"/>
    </row>
    <row r="251" spans="1:3" s="31" customFormat="1" x14ac:dyDescent="0.3">
      <c r="A251" s="5"/>
      <c r="C251" s="32"/>
    </row>
    <row r="252" spans="1:3" s="31" customFormat="1" x14ac:dyDescent="0.3">
      <c r="A252" s="5"/>
      <c r="C252" s="32"/>
    </row>
    <row r="253" spans="1:3" s="31" customFormat="1" x14ac:dyDescent="0.3">
      <c r="A253" s="5"/>
      <c r="C253" s="32"/>
    </row>
    <row r="254" spans="1:3" s="31" customFormat="1" x14ac:dyDescent="0.3">
      <c r="A254" s="5"/>
      <c r="C254" s="32"/>
    </row>
    <row r="255" spans="1:3" s="31" customFormat="1" x14ac:dyDescent="0.3">
      <c r="A255" s="5"/>
      <c r="C255" s="32"/>
    </row>
    <row r="256" spans="1:3" s="31" customFormat="1" x14ac:dyDescent="0.3">
      <c r="A256" s="5"/>
      <c r="C256" s="32"/>
    </row>
    <row r="257" spans="1:3" s="31" customFormat="1" x14ac:dyDescent="0.3">
      <c r="A257" s="5"/>
      <c r="C257" s="32"/>
    </row>
    <row r="258" spans="1:3" s="31" customFormat="1" x14ac:dyDescent="0.3">
      <c r="A258" s="5"/>
      <c r="C258" s="32"/>
    </row>
    <row r="259" spans="1:3" s="31" customFormat="1" x14ac:dyDescent="0.3">
      <c r="A259" s="5"/>
      <c r="C259" s="32"/>
    </row>
    <row r="260" spans="1:3" s="31" customFormat="1" x14ac:dyDescent="0.3">
      <c r="A260" s="5"/>
      <c r="C260" s="32"/>
    </row>
    <row r="261" spans="1:3" s="31" customFormat="1" x14ac:dyDescent="0.3">
      <c r="A261" s="5"/>
      <c r="C261" s="32"/>
    </row>
    <row r="262" spans="1:3" s="31" customFormat="1" x14ac:dyDescent="0.3">
      <c r="A262" s="5"/>
      <c r="C262" s="32"/>
    </row>
    <row r="263" spans="1:3" s="31" customFormat="1" x14ac:dyDescent="0.3">
      <c r="A263" s="5"/>
      <c r="C263" s="32"/>
    </row>
    <row r="264" spans="1:3" s="31" customFormat="1" x14ac:dyDescent="0.3">
      <c r="A264" s="5"/>
      <c r="C264" s="32"/>
    </row>
    <row r="265" spans="1:3" s="31" customFormat="1" x14ac:dyDescent="0.3">
      <c r="A265" s="5"/>
      <c r="C265" s="32"/>
    </row>
    <row r="266" spans="1:3" s="31" customFormat="1" x14ac:dyDescent="0.3">
      <c r="A266" s="5"/>
      <c r="C266" s="32"/>
    </row>
    <row r="267" spans="1:3" s="31" customFormat="1" x14ac:dyDescent="0.3">
      <c r="A267" s="5"/>
      <c r="C267" s="32"/>
    </row>
    <row r="268" spans="1:3" s="31" customFormat="1" x14ac:dyDescent="0.3">
      <c r="A268" s="5"/>
      <c r="C268" s="32"/>
    </row>
    <row r="269" spans="1:3" s="31" customFormat="1" x14ac:dyDescent="0.3">
      <c r="A269" s="5"/>
      <c r="C269" s="32"/>
    </row>
    <row r="270" spans="1:3" s="31" customFormat="1" x14ac:dyDescent="0.3">
      <c r="A270" s="5"/>
      <c r="C270" s="32"/>
    </row>
    <row r="271" spans="1:3" s="31" customFormat="1" x14ac:dyDescent="0.3">
      <c r="A271" s="5"/>
      <c r="C271" s="32"/>
    </row>
    <row r="272" spans="1:3" s="31" customFormat="1" x14ac:dyDescent="0.3">
      <c r="A272" s="5"/>
      <c r="C272" s="32"/>
    </row>
    <row r="273" spans="1:3" s="31" customFormat="1" x14ac:dyDescent="0.3">
      <c r="A273" s="5"/>
      <c r="C273" s="32"/>
    </row>
    <row r="274" spans="1:3" s="31" customFormat="1" x14ac:dyDescent="0.3">
      <c r="A274" s="5"/>
      <c r="C274" s="32"/>
    </row>
    <row r="275" spans="1:3" s="31" customFormat="1" x14ac:dyDescent="0.3">
      <c r="A275" s="5"/>
      <c r="C275" s="32"/>
    </row>
    <row r="276" spans="1:3" s="31" customFormat="1" x14ac:dyDescent="0.3">
      <c r="A276" s="5"/>
      <c r="C276" s="32"/>
    </row>
    <row r="277" spans="1:3" s="31" customFormat="1" x14ac:dyDescent="0.3">
      <c r="A277" s="5"/>
      <c r="C277" s="32"/>
    </row>
    <row r="278" spans="1:3" s="31" customFormat="1" x14ac:dyDescent="0.3">
      <c r="A278" s="5"/>
      <c r="C278" s="32"/>
    </row>
    <row r="279" spans="1:3" x14ac:dyDescent="0.25">
      <c r="C279" s="8"/>
    </row>
    <row r="280" spans="1:3" x14ac:dyDescent="0.25">
      <c r="C280" s="8"/>
    </row>
    <row r="281" spans="1:3" x14ac:dyDescent="0.25">
      <c r="C281" s="8"/>
    </row>
    <row r="282" spans="1:3" x14ac:dyDescent="0.25">
      <c r="C282" s="8"/>
    </row>
    <row r="283" spans="1:3" x14ac:dyDescent="0.25">
      <c r="C283" s="8"/>
    </row>
    <row r="284" spans="1:3" x14ac:dyDescent="0.25">
      <c r="C284" s="8"/>
    </row>
    <row r="285" spans="1:3" x14ac:dyDescent="0.25">
      <c r="C285" s="8"/>
    </row>
    <row r="286" spans="1:3" x14ac:dyDescent="0.25">
      <c r="C286" s="8"/>
    </row>
  </sheetData>
  <mergeCells count="15">
    <mergeCell ref="A221:B221"/>
    <mergeCell ref="B225:C225"/>
    <mergeCell ref="A104:A167"/>
    <mergeCell ref="A168:A170"/>
    <mergeCell ref="A171:A218"/>
    <mergeCell ref="A219:B219"/>
    <mergeCell ref="A220:B220"/>
    <mergeCell ref="B1:D1"/>
    <mergeCell ref="A47:A103"/>
    <mergeCell ref="A28:A46"/>
    <mergeCell ref="A3:C3"/>
    <mergeCell ref="B4:C4"/>
    <mergeCell ref="A6:A12"/>
    <mergeCell ref="A14:A23"/>
    <mergeCell ref="A24:A2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289"/>
  <sheetViews>
    <sheetView view="pageBreakPreview" topLeftCell="A173" zoomScale="90" zoomScaleSheetLayoutView="90" workbookViewId="0">
      <selection activeCell="D177" sqref="D177"/>
    </sheetView>
  </sheetViews>
  <sheetFormatPr defaultColWidth="9.109375" defaultRowHeight="13.8" x14ac:dyDescent="0.25"/>
  <cols>
    <col min="1" max="1" width="5" style="5" customWidth="1"/>
    <col min="2" max="2" width="30.109375" style="1" customWidth="1"/>
    <col min="3" max="3" width="41" style="3" customWidth="1"/>
    <col min="4" max="4" width="14.88671875" style="1" customWidth="1"/>
    <col min="5" max="16384" width="9.109375" style="1"/>
  </cols>
  <sheetData>
    <row r="1" spans="1:8" x14ac:dyDescent="0.25">
      <c r="C1" s="4" t="s">
        <v>95</v>
      </c>
    </row>
    <row r="2" spans="1:8" ht="17.25" customHeight="1" x14ac:dyDescent="0.25">
      <c r="A2" s="437" t="s">
        <v>97</v>
      </c>
      <c r="B2" s="437"/>
      <c r="C2" s="437"/>
    </row>
    <row r="3" spans="1:8" ht="33.75" customHeight="1" x14ac:dyDescent="0.25">
      <c r="A3" s="7"/>
      <c r="B3" s="472" t="s">
        <v>202</v>
      </c>
      <c r="C3" s="472"/>
    </row>
    <row r="4" spans="1:8" s="2" customFormat="1" ht="27" customHeight="1" x14ac:dyDescent="0.25">
      <c r="A4" s="175"/>
      <c r="B4" s="6"/>
      <c r="C4" s="175" t="s">
        <v>99</v>
      </c>
    </row>
    <row r="5" spans="1:8" s="13" customFormat="1" ht="12" x14ac:dyDescent="0.3">
      <c r="A5" s="440">
        <v>211</v>
      </c>
      <c r="B5" s="11" t="s">
        <v>100</v>
      </c>
      <c r="C5" s="12"/>
    </row>
    <row r="6" spans="1:8" s="13" customFormat="1" ht="12" x14ac:dyDescent="0.3">
      <c r="A6" s="440"/>
      <c r="B6" s="14" t="s">
        <v>55</v>
      </c>
      <c r="C6" s="15"/>
    </row>
    <row r="7" spans="1:8" s="13" customFormat="1" ht="12" x14ac:dyDescent="0.3">
      <c r="A7" s="440"/>
      <c r="B7" s="14" t="s">
        <v>56</v>
      </c>
      <c r="C7" s="15"/>
    </row>
    <row r="8" spans="1:8" s="13" customFormat="1" ht="12" x14ac:dyDescent="0.3">
      <c r="A8" s="440"/>
      <c r="B8" s="11" t="s">
        <v>57</v>
      </c>
      <c r="C8" s="12">
        <f>C9*C10</f>
        <v>72789.75</v>
      </c>
    </row>
    <row r="9" spans="1:8" s="13" customFormat="1" ht="12" x14ac:dyDescent="0.3">
      <c r="A9" s="440"/>
      <c r="B9" s="14" t="s">
        <v>55</v>
      </c>
      <c r="C9" s="15">
        <v>8.25</v>
      </c>
    </row>
    <row r="10" spans="1:8" s="13" customFormat="1" ht="12" x14ac:dyDescent="0.3">
      <c r="A10" s="440"/>
      <c r="B10" s="14" t="s">
        <v>56</v>
      </c>
      <c r="C10" s="15">
        <v>8823</v>
      </c>
    </row>
    <row r="11" spans="1:8" s="13" customFormat="1" ht="17.25" customHeight="1" x14ac:dyDescent="0.3">
      <c r="A11" s="440"/>
      <c r="B11" s="16" t="s">
        <v>94</v>
      </c>
      <c r="C11" s="17">
        <f>C8*12</f>
        <v>873477</v>
      </c>
    </row>
    <row r="12" spans="1:8" s="157" customFormat="1" ht="16.5" customHeight="1" x14ac:dyDescent="0.3">
      <c r="A12" s="253">
        <v>213</v>
      </c>
      <c r="B12" s="254" t="s">
        <v>93</v>
      </c>
      <c r="C12" s="255">
        <f>C11*36.2%</f>
        <v>316198.67400000006</v>
      </c>
      <c r="D12" s="256">
        <v>0.30199999999999999</v>
      </c>
      <c r="E12" s="157">
        <f>C11*D12</f>
        <v>263790.054</v>
      </c>
      <c r="F12" s="157" t="s">
        <v>480</v>
      </c>
      <c r="H12" s="157">
        <v>316198.67</v>
      </c>
    </row>
    <row r="13" spans="1:8" s="13" customFormat="1" ht="12" x14ac:dyDescent="0.3">
      <c r="A13" s="440">
        <v>221</v>
      </c>
      <c r="B13" s="18" t="s">
        <v>58</v>
      </c>
      <c r="C13" s="12">
        <f>C14*C15*12</f>
        <v>18000</v>
      </c>
    </row>
    <row r="14" spans="1:8" s="13" customFormat="1" ht="12" x14ac:dyDescent="0.3">
      <c r="A14" s="440"/>
      <c r="B14" s="14" t="s">
        <v>59</v>
      </c>
      <c r="C14" s="15">
        <v>2</v>
      </c>
    </row>
    <row r="15" spans="1:8" s="13" customFormat="1" ht="12" x14ac:dyDescent="0.3">
      <c r="A15" s="440"/>
      <c r="B15" s="14" t="s">
        <v>61</v>
      </c>
      <c r="C15" s="15">
        <v>750</v>
      </c>
    </row>
    <row r="16" spans="1:8" s="13" customFormat="1" ht="12" x14ac:dyDescent="0.3">
      <c r="A16" s="440"/>
      <c r="B16" s="18" t="s">
        <v>0</v>
      </c>
      <c r="C16" s="12">
        <f>C17*C18*12</f>
        <v>3228</v>
      </c>
    </row>
    <row r="17" spans="1:3" s="13" customFormat="1" ht="12" x14ac:dyDescent="0.3">
      <c r="A17" s="440"/>
      <c r="B17" s="14" t="s">
        <v>79</v>
      </c>
      <c r="C17" s="15">
        <v>1</v>
      </c>
    </row>
    <row r="18" spans="1:3" s="13" customFormat="1" ht="12" x14ac:dyDescent="0.3">
      <c r="A18" s="440"/>
      <c r="B18" s="14" t="s">
        <v>60</v>
      </c>
      <c r="C18" s="15">
        <v>269</v>
      </c>
    </row>
    <row r="19" spans="1:3" s="13" customFormat="1" ht="12" x14ac:dyDescent="0.3">
      <c r="A19" s="440"/>
      <c r="B19" s="18" t="s">
        <v>1</v>
      </c>
      <c r="C19" s="12">
        <f>C20*C21</f>
        <v>6000</v>
      </c>
    </row>
    <row r="20" spans="1:3" s="13" customFormat="1" ht="12" x14ac:dyDescent="0.3">
      <c r="A20" s="440"/>
      <c r="B20" s="14" t="s">
        <v>80</v>
      </c>
      <c r="C20" s="15">
        <v>200</v>
      </c>
    </row>
    <row r="21" spans="1:3" s="13" customFormat="1" ht="12" x14ac:dyDescent="0.3">
      <c r="A21" s="440"/>
      <c r="B21" s="14" t="s">
        <v>107</v>
      </c>
      <c r="C21" s="15">
        <v>30</v>
      </c>
    </row>
    <row r="22" spans="1:3" s="13" customFormat="1" ht="12" x14ac:dyDescent="0.3">
      <c r="A22" s="440"/>
      <c r="B22" s="16" t="s">
        <v>92</v>
      </c>
      <c r="C22" s="17">
        <f>C13+C16+C19</f>
        <v>27228</v>
      </c>
    </row>
    <row r="23" spans="1:3" s="13" customFormat="1" ht="12" x14ac:dyDescent="0.3">
      <c r="A23" s="440">
        <v>222</v>
      </c>
      <c r="B23" s="18" t="s">
        <v>62</v>
      </c>
      <c r="C23" s="19"/>
    </row>
    <row r="24" spans="1:3" s="13" customFormat="1" ht="12" x14ac:dyDescent="0.3">
      <c r="A24" s="440"/>
      <c r="B24" s="14" t="s">
        <v>81</v>
      </c>
      <c r="C24" s="15"/>
    </row>
    <row r="25" spans="1:3" s="13" customFormat="1" ht="12" x14ac:dyDescent="0.3">
      <c r="A25" s="440"/>
      <c r="B25" s="14" t="s">
        <v>106</v>
      </c>
      <c r="C25" s="15"/>
    </row>
    <row r="26" spans="1:3" s="13" customFormat="1" ht="12" x14ac:dyDescent="0.3">
      <c r="A26" s="440"/>
      <c r="B26" s="16" t="s">
        <v>91</v>
      </c>
      <c r="C26" s="17"/>
    </row>
    <row r="27" spans="1:3" s="13" customFormat="1" ht="12" x14ac:dyDescent="0.3">
      <c r="A27" s="440">
        <v>223</v>
      </c>
      <c r="B27" s="11" t="s">
        <v>2</v>
      </c>
      <c r="C27" s="12">
        <f>C28*C29</f>
        <v>771480</v>
      </c>
    </row>
    <row r="28" spans="1:3" s="13" customFormat="1" ht="12" x14ac:dyDescent="0.3">
      <c r="A28" s="440"/>
      <c r="B28" s="14" t="s">
        <v>82</v>
      </c>
      <c r="C28" s="15">
        <v>107150</v>
      </c>
    </row>
    <row r="29" spans="1:3" s="13" customFormat="1" ht="12" x14ac:dyDescent="0.3">
      <c r="A29" s="440"/>
      <c r="B29" s="14" t="s">
        <v>108</v>
      </c>
      <c r="C29" s="15">
        <v>7.2</v>
      </c>
    </row>
    <row r="30" spans="1:3" s="13" customFormat="1" ht="12" x14ac:dyDescent="0.3">
      <c r="A30" s="440"/>
      <c r="B30" s="11" t="s">
        <v>3</v>
      </c>
      <c r="C30" s="12"/>
    </row>
    <row r="31" spans="1:3" s="13" customFormat="1" ht="12" x14ac:dyDescent="0.3">
      <c r="A31" s="440"/>
      <c r="B31" s="14" t="s">
        <v>83</v>
      </c>
      <c r="C31" s="15"/>
    </row>
    <row r="32" spans="1:3" s="13" customFormat="1" ht="12" x14ac:dyDescent="0.3">
      <c r="A32" s="440"/>
      <c r="B32" s="14" t="s">
        <v>63</v>
      </c>
      <c r="C32" s="15"/>
    </row>
    <row r="33" spans="1:3" s="13" customFormat="1" ht="12" x14ac:dyDescent="0.3">
      <c r="A33" s="440"/>
      <c r="B33" s="11" t="s">
        <v>4</v>
      </c>
      <c r="C33" s="12"/>
    </row>
    <row r="34" spans="1:3" s="13" customFormat="1" ht="12" x14ac:dyDescent="0.3">
      <c r="A34" s="440"/>
      <c r="B34" s="14" t="s">
        <v>84</v>
      </c>
      <c r="C34" s="15"/>
    </row>
    <row r="35" spans="1:3" s="13" customFormat="1" ht="12" x14ac:dyDescent="0.3">
      <c r="A35" s="440"/>
      <c r="B35" s="14" t="s">
        <v>108</v>
      </c>
      <c r="C35" s="15"/>
    </row>
    <row r="36" spans="1:3" s="13" customFormat="1" ht="12" x14ac:dyDescent="0.3">
      <c r="A36" s="440"/>
      <c r="B36" s="11" t="s">
        <v>29</v>
      </c>
      <c r="C36" s="12"/>
    </row>
    <row r="37" spans="1:3" s="13" customFormat="1" ht="12" x14ac:dyDescent="0.3">
      <c r="A37" s="440"/>
      <c r="B37" s="14" t="s">
        <v>84</v>
      </c>
      <c r="C37" s="15"/>
    </row>
    <row r="38" spans="1:3" s="13" customFormat="1" ht="12" x14ac:dyDescent="0.3">
      <c r="A38" s="440"/>
      <c r="B38" s="14" t="s">
        <v>108</v>
      </c>
      <c r="C38" s="15"/>
    </row>
    <row r="39" spans="1:3" s="13" customFormat="1" ht="12" x14ac:dyDescent="0.3">
      <c r="A39" s="440"/>
      <c r="B39" s="11" t="s">
        <v>5</v>
      </c>
      <c r="C39" s="12"/>
    </row>
    <row r="40" spans="1:3" s="13" customFormat="1" ht="12" x14ac:dyDescent="0.3">
      <c r="A40" s="440"/>
      <c r="B40" s="14" t="s">
        <v>84</v>
      </c>
      <c r="C40" s="15"/>
    </row>
    <row r="41" spans="1:3" s="13" customFormat="1" ht="12" x14ac:dyDescent="0.3">
      <c r="A41" s="440"/>
      <c r="B41" s="14" t="s">
        <v>108</v>
      </c>
      <c r="C41" s="15"/>
    </row>
    <row r="42" spans="1:3" s="13" customFormat="1" ht="12" x14ac:dyDescent="0.3">
      <c r="A42" s="440"/>
      <c r="B42" s="11" t="s">
        <v>25</v>
      </c>
      <c r="C42" s="12">
        <f>C43*C44</f>
        <v>13000</v>
      </c>
    </row>
    <row r="43" spans="1:3" s="13" customFormat="1" ht="12" x14ac:dyDescent="0.3">
      <c r="A43" s="440"/>
      <c r="B43" s="14" t="s">
        <v>67</v>
      </c>
      <c r="C43" s="15">
        <v>2</v>
      </c>
    </row>
    <row r="44" spans="1:3" s="13" customFormat="1" ht="12" x14ac:dyDescent="0.3">
      <c r="A44" s="440"/>
      <c r="B44" s="14" t="s">
        <v>108</v>
      </c>
      <c r="C44" s="15">
        <v>6500</v>
      </c>
    </row>
    <row r="45" spans="1:3" s="13" customFormat="1" ht="12" x14ac:dyDescent="0.3">
      <c r="A45" s="440"/>
      <c r="B45" s="16" t="s">
        <v>90</v>
      </c>
      <c r="C45" s="17">
        <f>C27+C30+C33+C36+C39+C42</f>
        <v>784480</v>
      </c>
    </row>
    <row r="46" spans="1:3" s="13" customFormat="1" ht="12" x14ac:dyDescent="0.3">
      <c r="A46" s="440"/>
      <c r="B46" s="11" t="s">
        <v>6</v>
      </c>
      <c r="C46" s="12">
        <f>C47*C48</f>
        <v>35364.42</v>
      </c>
    </row>
    <row r="47" spans="1:3" s="13" customFormat="1" ht="12" x14ac:dyDescent="0.3">
      <c r="A47" s="440"/>
      <c r="B47" s="14" t="s">
        <v>84</v>
      </c>
      <c r="C47" s="15">
        <v>78</v>
      </c>
    </row>
    <row r="48" spans="1:3" s="13" customFormat="1" ht="12" x14ac:dyDescent="0.3">
      <c r="A48" s="440"/>
      <c r="B48" s="14" t="s">
        <v>108</v>
      </c>
      <c r="C48" s="15">
        <v>453.39</v>
      </c>
    </row>
    <row r="49" spans="1:4" s="13" customFormat="1" ht="12" x14ac:dyDescent="0.3">
      <c r="A49" s="440"/>
      <c r="B49" s="11" t="s">
        <v>7</v>
      </c>
      <c r="C49" s="12">
        <f>C50*C51*12</f>
        <v>5508</v>
      </c>
    </row>
    <row r="50" spans="1:4" s="13" customFormat="1" ht="12" x14ac:dyDescent="0.3">
      <c r="A50" s="440"/>
      <c r="B50" s="14" t="s">
        <v>70</v>
      </c>
      <c r="C50" s="15">
        <v>900</v>
      </c>
    </row>
    <row r="51" spans="1:4" s="13" customFormat="1" ht="12" x14ac:dyDescent="0.3">
      <c r="A51" s="440"/>
      <c r="B51" s="14" t="s">
        <v>108</v>
      </c>
      <c r="C51" s="15">
        <v>0.51</v>
      </c>
    </row>
    <row r="52" spans="1:4" s="13" customFormat="1" ht="30.75" customHeight="1" x14ac:dyDescent="0.3">
      <c r="A52" s="440"/>
      <c r="B52" s="11" t="s">
        <v>54</v>
      </c>
      <c r="C52" s="12">
        <f>C53*C54</f>
        <v>10200</v>
      </c>
    </row>
    <row r="53" spans="1:4" s="13" customFormat="1" ht="12" x14ac:dyDescent="0.3">
      <c r="A53" s="440"/>
      <c r="B53" s="20" t="s">
        <v>67</v>
      </c>
      <c r="C53" s="21">
        <v>2</v>
      </c>
    </row>
    <row r="54" spans="1:4" s="13" customFormat="1" ht="12" x14ac:dyDescent="0.3">
      <c r="A54" s="440"/>
      <c r="B54" s="14" t="s">
        <v>63</v>
      </c>
      <c r="C54" s="15">
        <v>5100</v>
      </c>
    </row>
    <row r="55" spans="1:4" s="13" customFormat="1" ht="12" x14ac:dyDescent="0.3">
      <c r="A55" s="440"/>
      <c r="B55" s="11" t="s">
        <v>8</v>
      </c>
      <c r="C55" s="12">
        <f>C56*C57</f>
        <v>14400</v>
      </c>
    </row>
    <row r="56" spans="1:4" s="13" customFormat="1" ht="12" x14ac:dyDescent="0.3">
      <c r="A56" s="440"/>
      <c r="B56" s="14" t="s">
        <v>109</v>
      </c>
      <c r="C56" s="15">
        <v>12</v>
      </c>
    </row>
    <row r="57" spans="1:4" s="13" customFormat="1" ht="12" x14ac:dyDescent="0.3">
      <c r="A57" s="440"/>
      <c r="B57" s="14" t="s">
        <v>110</v>
      </c>
      <c r="C57" s="15">
        <v>1200</v>
      </c>
    </row>
    <row r="58" spans="1:4" s="13" customFormat="1" ht="12" x14ac:dyDescent="0.3">
      <c r="A58" s="440"/>
      <c r="B58" s="11" t="s">
        <v>28</v>
      </c>
      <c r="C58" s="12"/>
    </row>
    <row r="59" spans="1:4" s="13" customFormat="1" ht="12" x14ac:dyDescent="0.3">
      <c r="A59" s="440"/>
      <c r="B59" s="14" t="s">
        <v>67</v>
      </c>
      <c r="C59" s="15"/>
    </row>
    <row r="60" spans="1:4" s="13" customFormat="1" ht="12" x14ac:dyDescent="0.3">
      <c r="A60" s="440"/>
      <c r="B60" s="14" t="s">
        <v>111</v>
      </c>
      <c r="C60" s="15"/>
    </row>
    <row r="61" spans="1:4" s="13" customFormat="1" ht="12" x14ac:dyDescent="0.3">
      <c r="A61" s="440"/>
      <c r="B61" s="11" t="s">
        <v>96</v>
      </c>
      <c r="C61" s="12">
        <f>C62*C63</f>
        <v>7200</v>
      </c>
      <c r="D61" s="13" t="s">
        <v>203</v>
      </c>
    </row>
    <row r="62" spans="1:4" s="13" customFormat="1" ht="12" x14ac:dyDescent="0.3">
      <c r="A62" s="440"/>
      <c r="B62" s="14" t="s">
        <v>109</v>
      </c>
      <c r="C62" s="15">
        <v>12</v>
      </c>
    </row>
    <row r="63" spans="1:4" s="13" customFormat="1" ht="12" x14ac:dyDescent="0.3">
      <c r="A63" s="440"/>
      <c r="B63" s="14" t="s">
        <v>110</v>
      </c>
      <c r="C63" s="15">
        <v>600</v>
      </c>
    </row>
    <row r="64" spans="1:4" s="13" customFormat="1" ht="12" x14ac:dyDescent="0.3">
      <c r="A64" s="440"/>
      <c r="B64" s="11" t="s">
        <v>103</v>
      </c>
      <c r="C64" s="12">
        <f>C65*C66</f>
        <v>25200</v>
      </c>
      <c r="D64" s="13" t="s">
        <v>203</v>
      </c>
    </row>
    <row r="65" spans="1:5" s="13" customFormat="1" ht="12" x14ac:dyDescent="0.3">
      <c r="A65" s="440"/>
      <c r="B65" s="14" t="s">
        <v>109</v>
      </c>
      <c r="C65" s="15">
        <v>12</v>
      </c>
    </row>
    <row r="66" spans="1:5" s="13" customFormat="1" ht="12" x14ac:dyDescent="0.3">
      <c r="A66" s="440"/>
      <c r="B66" s="14" t="s">
        <v>110</v>
      </c>
      <c r="C66" s="15">
        <v>2100</v>
      </c>
    </row>
    <row r="67" spans="1:5" s="13" customFormat="1" ht="18.75" customHeight="1" x14ac:dyDescent="0.3">
      <c r="A67" s="440"/>
      <c r="B67" s="11" t="s">
        <v>26</v>
      </c>
      <c r="C67" s="12">
        <f>C68*C69</f>
        <v>6000</v>
      </c>
      <c r="D67" s="13" t="s">
        <v>203</v>
      </c>
    </row>
    <row r="68" spans="1:5" s="13" customFormat="1" ht="12" x14ac:dyDescent="0.3">
      <c r="A68" s="440"/>
      <c r="B68" s="14" t="s">
        <v>109</v>
      </c>
      <c r="C68" s="15">
        <v>12</v>
      </c>
    </row>
    <row r="69" spans="1:5" s="13" customFormat="1" ht="12" x14ac:dyDescent="0.3">
      <c r="A69" s="440"/>
      <c r="B69" s="14" t="s">
        <v>110</v>
      </c>
      <c r="C69" s="15">
        <v>500</v>
      </c>
    </row>
    <row r="70" spans="1:5" s="157" customFormat="1" ht="12" x14ac:dyDescent="0.3">
      <c r="A70" s="440"/>
      <c r="B70" s="22" t="s">
        <v>169</v>
      </c>
      <c r="C70" s="257">
        <v>75800</v>
      </c>
      <c r="D70" s="157">
        <v>70000</v>
      </c>
      <c r="E70" s="258">
        <f>D70-C70</f>
        <v>-5800</v>
      </c>
    </row>
    <row r="71" spans="1:5" s="13" customFormat="1" ht="12" x14ac:dyDescent="0.3">
      <c r="A71" s="440"/>
      <c r="B71" s="23" t="s">
        <v>46</v>
      </c>
      <c r="C71" s="24">
        <v>45000</v>
      </c>
    </row>
    <row r="72" spans="1:5" s="13" customFormat="1" ht="12" x14ac:dyDescent="0.3">
      <c r="A72" s="440"/>
      <c r="B72" s="11" t="s">
        <v>102</v>
      </c>
      <c r="C72" s="12">
        <f>C73*C74*C75+C76*C77*C78</f>
        <v>157000</v>
      </c>
      <c r="D72" s="13" t="s">
        <v>204</v>
      </c>
    </row>
    <row r="73" spans="1:5" s="13" customFormat="1" ht="12" x14ac:dyDescent="0.3">
      <c r="A73" s="440"/>
      <c r="B73" s="14" t="s">
        <v>67</v>
      </c>
      <c r="C73" s="15">
        <v>7</v>
      </c>
    </row>
    <row r="74" spans="1:5" s="13" customFormat="1" ht="12" x14ac:dyDescent="0.3">
      <c r="A74" s="440"/>
      <c r="B74" s="14" t="s">
        <v>69</v>
      </c>
      <c r="C74" s="15">
        <v>2</v>
      </c>
    </row>
    <row r="75" spans="1:5" s="13" customFormat="1" ht="12" x14ac:dyDescent="0.3">
      <c r="A75" s="440"/>
      <c r="B75" s="14" t="s">
        <v>105</v>
      </c>
      <c r="C75" s="15">
        <v>5500</v>
      </c>
    </row>
    <row r="76" spans="1:5" s="13" customFormat="1" ht="12" x14ac:dyDescent="0.3">
      <c r="A76" s="440"/>
      <c r="B76" s="14" t="s">
        <v>67</v>
      </c>
      <c r="C76" s="15">
        <v>4</v>
      </c>
    </row>
    <row r="77" spans="1:5" s="13" customFormat="1" ht="12" x14ac:dyDescent="0.3">
      <c r="A77" s="440"/>
      <c r="B77" s="14" t="s">
        <v>69</v>
      </c>
      <c r="C77" s="15">
        <v>2</v>
      </c>
    </row>
    <row r="78" spans="1:5" s="13" customFormat="1" ht="12" x14ac:dyDescent="0.3">
      <c r="A78" s="440"/>
      <c r="B78" s="14" t="s">
        <v>105</v>
      </c>
      <c r="C78" s="15">
        <v>10000</v>
      </c>
    </row>
    <row r="79" spans="1:5" s="13" customFormat="1" ht="12" x14ac:dyDescent="0.3">
      <c r="A79" s="440"/>
      <c r="B79" s="11" t="s">
        <v>31</v>
      </c>
      <c r="C79" s="12">
        <f>C80*C81</f>
        <v>3920</v>
      </c>
    </row>
    <row r="80" spans="1:5" s="13" customFormat="1" ht="12" x14ac:dyDescent="0.3">
      <c r="A80" s="440"/>
      <c r="B80" s="14" t="s">
        <v>109</v>
      </c>
      <c r="C80" s="15">
        <v>4</v>
      </c>
    </row>
    <row r="81" spans="1:3" s="13" customFormat="1" ht="12" x14ac:dyDescent="0.3">
      <c r="A81" s="440"/>
      <c r="B81" s="14" t="s">
        <v>110</v>
      </c>
      <c r="C81" s="15">
        <v>980</v>
      </c>
    </row>
    <row r="82" spans="1:3" s="13" customFormat="1" ht="12" x14ac:dyDescent="0.3">
      <c r="A82" s="440"/>
      <c r="B82" s="11" t="s">
        <v>32</v>
      </c>
      <c r="C82" s="12">
        <f>C83*C84</f>
        <v>12000</v>
      </c>
    </row>
    <row r="83" spans="1:3" s="13" customFormat="1" ht="12" x14ac:dyDescent="0.3">
      <c r="A83" s="440"/>
      <c r="B83" s="14" t="s">
        <v>109</v>
      </c>
      <c r="C83" s="15">
        <v>12</v>
      </c>
    </row>
    <row r="84" spans="1:3" s="13" customFormat="1" ht="12" x14ac:dyDescent="0.3">
      <c r="A84" s="440"/>
      <c r="B84" s="14" t="s">
        <v>110</v>
      </c>
      <c r="C84" s="15">
        <v>1000</v>
      </c>
    </row>
    <row r="85" spans="1:3" s="13" customFormat="1" ht="12" x14ac:dyDescent="0.3">
      <c r="A85" s="440"/>
      <c r="B85" s="11" t="s">
        <v>49</v>
      </c>
      <c r="C85" s="12">
        <f>C86*C87*C88</f>
        <v>0</v>
      </c>
    </row>
    <row r="86" spans="1:3" s="13" customFormat="1" ht="12" x14ac:dyDescent="0.3">
      <c r="A86" s="440"/>
      <c r="B86" s="14" t="s">
        <v>65</v>
      </c>
      <c r="C86" s="15"/>
    </row>
    <row r="87" spans="1:3" s="13" customFormat="1" ht="12" x14ac:dyDescent="0.3">
      <c r="A87" s="440"/>
      <c r="B87" s="14" t="s">
        <v>68</v>
      </c>
      <c r="C87" s="15"/>
    </row>
    <row r="88" spans="1:3" s="13" customFormat="1" ht="12" x14ac:dyDescent="0.3">
      <c r="A88" s="440"/>
      <c r="B88" s="14" t="s">
        <v>63</v>
      </c>
      <c r="C88" s="15"/>
    </row>
    <row r="89" spans="1:3" s="13" customFormat="1" ht="12" x14ac:dyDescent="0.3">
      <c r="A89" s="440"/>
      <c r="B89" s="11" t="s">
        <v>33</v>
      </c>
      <c r="C89" s="12">
        <v>10000</v>
      </c>
    </row>
    <row r="90" spans="1:3" s="13" customFormat="1" ht="12" x14ac:dyDescent="0.3">
      <c r="A90" s="440"/>
      <c r="B90" s="25" t="s">
        <v>43</v>
      </c>
      <c r="C90" s="24"/>
    </row>
    <row r="91" spans="1:3" s="13" customFormat="1" ht="12" x14ac:dyDescent="0.3">
      <c r="A91" s="440"/>
      <c r="B91" s="11" t="s">
        <v>51</v>
      </c>
      <c r="C91" s="12">
        <f>C92*C93</f>
        <v>15000</v>
      </c>
    </row>
    <row r="92" spans="1:3" s="13" customFormat="1" ht="12" x14ac:dyDescent="0.3">
      <c r="A92" s="440"/>
      <c r="B92" s="14" t="s">
        <v>104</v>
      </c>
      <c r="C92" s="15">
        <v>50</v>
      </c>
    </row>
    <row r="93" spans="1:3" s="13" customFormat="1" ht="12" x14ac:dyDescent="0.3">
      <c r="A93" s="440"/>
      <c r="B93" s="14" t="s">
        <v>105</v>
      </c>
      <c r="C93" s="15">
        <v>300</v>
      </c>
    </row>
    <row r="94" spans="1:3" s="13" customFormat="1" ht="12" x14ac:dyDescent="0.3">
      <c r="A94" s="440"/>
      <c r="B94" s="11" t="s">
        <v>52</v>
      </c>
      <c r="C94" s="12"/>
    </row>
    <row r="95" spans="1:3" s="13" customFormat="1" ht="12" x14ac:dyDescent="0.3">
      <c r="A95" s="440"/>
      <c r="B95" s="14" t="s">
        <v>109</v>
      </c>
      <c r="C95" s="15"/>
    </row>
    <row r="96" spans="1:3" s="13" customFormat="1" ht="12" x14ac:dyDescent="0.3">
      <c r="A96" s="440"/>
      <c r="B96" s="14" t="s">
        <v>110</v>
      </c>
      <c r="C96" s="15"/>
    </row>
    <row r="97" spans="1:3" s="13" customFormat="1" ht="12" x14ac:dyDescent="0.3">
      <c r="A97" s="440"/>
      <c r="B97" s="11" t="s">
        <v>45</v>
      </c>
      <c r="C97" s="12">
        <v>250000</v>
      </c>
    </row>
    <row r="98" spans="1:3" s="13" customFormat="1" ht="12" x14ac:dyDescent="0.3">
      <c r="A98" s="440"/>
      <c r="B98" s="25" t="s">
        <v>9</v>
      </c>
      <c r="C98" s="24">
        <v>65000</v>
      </c>
    </row>
    <row r="99" spans="1:3" s="36" customFormat="1" ht="12" x14ac:dyDescent="0.3">
      <c r="A99" s="440"/>
      <c r="B99" s="178" t="s">
        <v>205</v>
      </c>
      <c r="C99" s="179">
        <v>75000</v>
      </c>
    </row>
    <row r="100" spans="1:3" s="36" customFormat="1" ht="12" x14ac:dyDescent="0.3">
      <c r="A100" s="440"/>
      <c r="B100" s="178" t="s">
        <v>206</v>
      </c>
      <c r="C100" s="179">
        <v>700000</v>
      </c>
    </row>
    <row r="101" spans="1:3" s="36" customFormat="1" ht="22.8" x14ac:dyDescent="0.3">
      <c r="A101" s="440"/>
      <c r="B101" s="180" t="s">
        <v>207</v>
      </c>
      <c r="C101" s="181">
        <f>C102*C103</f>
        <v>36000</v>
      </c>
    </row>
    <row r="102" spans="1:3" s="13" customFormat="1" ht="12" x14ac:dyDescent="0.3">
      <c r="A102" s="440"/>
      <c r="B102" s="14" t="s">
        <v>109</v>
      </c>
      <c r="C102" s="15">
        <v>12</v>
      </c>
    </row>
    <row r="103" spans="1:3" s="13" customFormat="1" ht="12" x14ac:dyDescent="0.3">
      <c r="A103" s="440"/>
      <c r="B103" s="14" t="s">
        <v>110</v>
      </c>
      <c r="C103" s="15">
        <f>1500*2</f>
        <v>3000</v>
      </c>
    </row>
    <row r="104" spans="1:3" s="13" customFormat="1" ht="12" x14ac:dyDescent="0.3">
      <c r="A104" s="440"/>
      <c r="B104" s="16" t="s">
        <v>89</v>
      </c>
      <c r="C104" s="17">
        <f>C46+C49+C52+C55+C58+C61+C64+C67+C70+C71+C72+C79+C82+C85+C89+C90+C91+C94+C97+C98+C99+C100+C101</f>
        <v>1548592.42</v>
      </c>
    </row>
    <row r="105" spans="1:3" s="13" customFormat="1" ht="12" x14ac:dyDescent="0.3">
      <c r="A105" s="434">
        <v>226</v>
      </c>
      <c r="B105" s="25" t="s">
        <v>10</v>
      </c>
      <c r="C105" s="24">
        <f>19500+3600</f>
        <v>23100</v>
      </c>
    </row>
    <row r="106" spans="1:3" s="13" customFormat="1" ht="12" x14ac:dyDescent="0.3">
      <c r="A106" s="435"/>
      <c r="B106" s="11" t="s">
        <v>11</v>
      </c>
      <c r="C106" s="12">
        <f>C107*C108</f>
        <v>129960</v>
      </c>
    </row>
    <row r="107" spans="1:3" s="13" customFormat="1" ht="12" x14ac:dyDescent="0.3">
      <c r="A107" s="435"/>
      <c r="B107" s="14" t="s">
        <v>68</v>
      </c>
      <c r="C107" s="15">
        <f>34+4</f>
        <v>38</v>
      </c>
    </row>
    <row r="108" spans="1:3" s="13" customFormat="1" ht="12" x14ac:dyDescent="0.3">
      <c r="A108" s="435"/>
      <c r="B108" s="14" t="s">
        <v>112</v>
      </c>
      <c r="C108" s="15">
        <v>3420</v>
      </c>
    </row>
    <row r="109" spans="1:3" s="13" customFormat="1" ht="12" x14ac:dyDescent="0.3">
      <c r="A109" s="435"/>
      <c r="B109" s="11" t="s">
        <v>42</v>
      </c>
      <c r="C109" s="12">
        <f>C110*C111</f>
        <v>13680</v>
      </c>
    </row>
    <row r="110" spans="1:3" s="13" customFormat="1" ht="12" x14ac:dyDescent="0.3">
      <c r="A110" s="435"/>
      <c r="B110" s="14" t="s">
        <v>68</v>
      </c>
      <c r="C110" s="15">
        <f>2+2</f>
        <v>4</v>
      </c>
    </row>
    <row r="111" spans="1:3" s="13" customFormat="1" ht="12" x14ac:dyDescent="0.3">
      <c r="A111" s="435"/>
      <c r="B111" s="14" t="s">
        <v>112</v>
      </c>
      <c r="C111" s="15">
        <v>3420</v>
      </c>
    </row>
    <row r="112" spans="1:3" s="13" customFormat="1" ht="12" x14ac:dyDescent="0.3">
      <c r="A112" s="435"/>
      <c r="B112" s="11" t="s">
        <v>12</v>
      </c>
      <c r="C112" s="12">
        <f>C113*C114</f>
        <v>48000</v>
      </c>
    </row>
    <row r="113" spans="1:4" s="13" customFormat="1" ht="12" x14ac:dyDescent="0.3">
      <c r="A113" s="435"/>
      <c r="B113" s="14" t="s">
        <v>109</v>
      </c>
      <c r="C113" s="15">
        <v>12</v>
      </c>
    </row>
    <row r="114" spans="1:4" s="13" customFormat="1" ht="12" x14ac:dyDescent="0.3">
      <c r="A114" s="435"/>
      <c r="B114" s="14" t="s">
        <v>110</v>
      </c>
      <c r="C114" s="15">
        <v>4000</v>
      </c>
    </row>
    <row r="115" spans="1:4" s="13" customFormat="1" ht="12" x14ac:dyDescent="0.3">
      <c r="A115" s="435"/>
      <c r="B115" s="11" t="s">
        <v>36</v>
      </c>
      <c r="C115" s="12">
        <f>C116*C117</f>
        <v>25000.080000000002</v>
      </c>
    </row>
    <row r="116" spans="1:4" s="13" customFormat="1" ht="12" x14ac:dyDescent="0.3">
      <c r="A116" s="435"/>
      <c r="B116" s="14" t="s">
        <v>109</v>
      </c>
      <c r="C116" s="15">
        <v>12</v>
      </c>
    </row>
    <row r="117" spans="1:4" s="13" customFormat="1" ht="12" x14ac:dyDescent="0.3">
      <c r="A117" s="435"/>
      <c r="B117" s="14" t="s">
        <v>110</v>
      </c>
      <c r="C117" s="15">
        <v>2083.34</v>
      </c>
    </row>
    <row r="118" spans="1:4" s="13" customFormat="1" ht="12" x14ac:dyDescent="0.3">
      <c r="A118" s="435"/>
      <c r="B118" s="11" t="s">
        <v>113</v>
      </c>
      <c r="C118" s="12">
        <f>C119*C120</f>
        <v>7000</v>
      </c>
    </row>
    <row r="119" spans="1:4" s="13" customFormat="1" ht="12" x14ac:dyDescent="0.3">
      <c r="A119" s="435"/>
      <c r="B119" s="14" t="s">
        <v>109</v>
      </c>
      <c r="C119" s="15">
        <v>1</v>
      </c>
    </row>
    <row r="120" spans="1:4" s="13" customFormat="1" ht="12" x14ac:dyDescent="0.3">
      <c r="A120" s="435"/>
      <c r="B120" s="14" t="s">
        <v>110</v>
      </c>
      <c r="C120" s="15">
        <v>7000</v>
      </c>
    </row>
    <row r="121" spans="1:4" s="13" customFormat="1" ht="12" x14ac:dyDescent="0.3">
      <c r="A121" s="435"/>
      <c r="B121" s="11" t="s">
        <v>41</v>
      </c>
      <c r="C121" s="12">
        <f>C122*C123</f>
        <v>6150</v>
      </c>
      <c r="D121" s="13" t="s">
        <v>208</v>
      </c>
    </row>
    <row r="122" spans="1:4" s="13" customFormat="1" ht="12" x14ac:dyDescent="0.3">
      <c r="A122" s="435"/>
      <c r="B122" s="14" t="s">
        <v>66</v>
      </c>
      <c r="C122" s="15">
        <v>1</v>
      </c>
    </row>
    <row r="123" spans="1:4" s="13" customFormat="1" ht="12" x14ac:dyDescent="0.3">
      <c r="A123" s="435"/>
      <c r="B123" s="14" t="s">
        <v>63</v>
      </c>
      <c r="C123" s="15">
        <v>6150</v>
      </c>
    </row>
    <row r="124" spans="1:4" s="13" customFormat="1" ht="12" x14ac:dyDescent="0.3">
      <c r="A124" s="435"/>
      <c r="B124" s="11" t="s">
        <v>40</v>
      </c>
      <c r="C124" s="12">
        <f>C125*C126</f>
        <v>10000</v>
      </c>
    </row>
    <row r="125" spans="1:4" s="13" customFormat="1" ht="12" x14ac:dyDescent="0.3">
      <c r="A125" s="435"/>
      <c r="B125" s="14" t="s">
        <v>66</v>
      </c>
      <c r="C125" s="15">
        <v>2</v>
      </c>
    </row>
    <row r="126" spans="1:4" s="13" customFormat="1" ht="12" x14ac:dyDescent="0.3">
      <c r="A126" s="435"/>
      <c r="B126" s="14" t="s">
        <v>63</v>
      </c>
      <c r="C126" s="15">
        <v>5000</v>
      </c>
    </row>
    <row r="127" spans="1:4" s="13" customFormat="1" ht="12" x14ac:dyDescent="0.3">
      <c r="A127" s="435"/>
      <c r="B127" s="11" t="s">
        <v>37</v>
      </c>
      <c r="C127" s="12">
        <v>2000</v>
      </c>
    </row>
    <row r="128" spans="1:4" s="13" customFormat="1" ht="12" x14ac:dyDescent="0.3">
      <c r="A128" s="435"/>
      <c r="B128" s="25" t="s">
        <v>44</v>
      </c>
      <c r="C128" s="24">
        <f>C129*C130+5885</f>
        <v>12481.2</v>
      </c>
    </row>
    <row r="129" spans="1:4" s="13" customFormat="1" ht="12" x14ac:dyDescent="0.3">
      <c r="A129" s="435"/>
      <c r="B129" s="14" t="s">
        <v>66</v>
      </c>
      <c r="C129" s="15">
        <f>25+34</f>
        <v>59</v>
      </c>
    </row>
    <row r="130" spans="1:4" s="13" customFormat="1" ht="12" x14ac:dyDescent="0.3">
      <c r="A130" s="435"/>
      <c r="B130" s="14" t="s">
        <v>63</v>
      </c>
      <c r="C130" s="15">
        <f>81.8+30</f>
        <v>111.8</v>
      </c>
    </row>
    <row r="131" spans="1:4" s="13" customFormat="1" ht="12" x14ac:dyDescent="0.3">
      <c r="A131" s="435"/>
      <c r="B131" s="25" t="s">
        <v>13</v>
      </c>
      <c r="C131" s="24">
        <v>20000</v>
      </c>
    </row>
    <row r="132" spans="1:4" s="13" customFormat="1" ht="12" x14ac:dyDescent="0.3">
      <c r="A132" s="435"/>
      <c r="B132" s="11" t="s">
        <v>14</v>
      </c>
      <c r="C132" s="12">
        <v>20000</v>
      </c>
    </row>
    <row r="133" spans="1:4" s="13" customFormat="1" ht="12" x14ac:dyDescent="0.3">
      <c r="A133" s="435"/>
      <c r="B133" s="25" t="s">
        <v>30</v>
      </c>
      <c r="C133" s="24">
        <f>4500+7500</f>
        <v>12000</v>
      </c>
      <c r="D133" s="13" t="s">
        <v>209</v>
      </c>
    </row>
    <row r="134" spans="1:4" s="157" customFormat="1" ht="12" x14ac:dyDescent="0.3">
      <c r="A134" s="435"/>
      <c r="B134" s="22" t="s">
        <v>48</v>
      </c>
      <c r="C134" s="257">
        <f>C135*C136</f>
        <v>5319.44</v>
      </c>
      <c r="D134" s="157" t="s">
        <v>482</v>
      </c>
    </row>
    <row r="135" spans="1:4" s="13" customFormat="1" ht="12" x14ac:dyDescent="0.3">
      <c r="A135" s="435"/>
      <c r="B135" s="14" t="s">
        <v>66</v>
      </c>
      <c r="C135" s="15">
        <v>1</v>
      </c>
    </row>
    <row r="136" spans="1:4" s="13" customFormat="1" ht="12" x14ac:dyDescent="0.3">
      <c r="A136" s="435"/>
      <c r="B136" s="14" t="s">
        <v>63</v>
      </c>
      <c r="C136" s="15">
        <v>5319.44</v>
      </c>
    </row>
    <row r="137" spans="1:4" s="13" customFormat="1" ht="12" x14ac:dyDescent="0.3">
      <c r="A137" s="435"/>
      <c r="B137" s="11" t="s">
        <v>15</v>
      </c>
      <c r="C137" s="12"/>
    </row>
    <row r="138" spans="1:4" s="13" customFormat="1" ht="12" x14ac:dyDescent="0.3">
      <c r="A138" s="435"/>
      <c r="B138" s="25" t="s">
        <v>16</v>
      </c>
      <c r="C138" s="24">
        <f>C139*C140</f>
        <v>76950</v>
      </c>
    </row>
    <row r="139" spans="1:4" s="13" customFormat="1" ht="12" x14ac:dyDescent="0.3">
      <c r="A139" s="435"/>
      <c r="B139" s="14" t="s">
        <v>66</v>
      </c>
      <c r="C139" s="15">
        <v>15</v>
      </c>
    </row>
    <row r="140" spans="1:4" s="13" customFormat="1" ht="12" x14ac:dyDescent="0.3">
      <c r="A140" s="435"/>
      <c r="B140" s="14" t="s">
        <v>112</v>
      </c>
      <c r="C140" s="15">
        <v>5130</v>
      </c>
    </row>
    <row r="141" spans="1:4" s="13" customFormat="1" ht="12" x14ac:dyDescent="0.3">
      <c r="A141" s="435"/>
      <c r="B141" s="11" t="s">
        <v>34</v>
      </c>
      <c r="C141" s="12">
        <f>C143</f>
        <v>10723.38752</v>
      </c>
    </row>
    <row r="142" spans="1:4" s="13" customFormat="1" ht="12" x14ac:dyDescent="0.3">
      <c r="A142" s="435"/>
      <c r="B142" s="14" t="s">
        <v>66</v>
      </c>
      <c r="C142" s="15">
        <v>2</v>
      </c>
    </row>
    <row r="143" spans="1:4" s="13" customFormat="1" ht="12" x14ac:dyDescent="0.3">
      <c r="A143" s="435"/>
      <c r="B143" s="14" t="s">
        <v>63</v>
      </c>
      <c r="C143" s="15">
        <f>(5400.35+4831.89)*4.8%+5400.35+4831.89</f>
        <v>10723.38752</v>
      </c>
    </row>
    <row r="144" spans="1:4" s="13" customFormat="1" ht="12" x14ac:dyDescent="0.3">
      <c r="A144" s="435"/>
      <c r="B144" s="14" t="s">
        <v>66</v>
      </c>
      <c r="C144" s="15"/>
    </row>
    <row r="145" spans="1:3" s="13" customFormat="1" ht="12" x14ac:dyDescent="0.3">
      <c r="A145" s="435"/>
      <c r="B145" s="14" t="s">
        <v>63</v>
      </c>
      <c r="C145" s="15"/>
    </row>
    <row r="146" spans="1:3" s="13" customFormat="1" ht="12" x14ac:dyDescent="0.3">
      <c r="A146" s="435"/>
      <c r="B146" s="11" t="s">
        <v>35</v>
      </c>
      <c r="C146" s="12">
        <f>C147*C148*C149</f>
        <v>48000</v>
      </c>
    </row>
    <row r="147" spans="1:3" s="13" customFormat="1" ht="12" x14ac:dyDescent="0.3">
      <c r="A147" s="435"/>
      <c r="B147" s="14" t="s">
        <v>64</v>
      </c>
      <c r="C147" s="15">
        <v>12</v>
      </c>
    </row>
    <row r="148" spans="1:3" s="13" customFormat="1" ht="12" x14ac:dyDescent="0.3">
      <c r="A148" s="435"/>
      <c r="B148" s="14" t="s">
        <v>68</v>
      </c>
      <c r="C148" s="15">
        <v>2</v>
      </c>
    </row>
    <row r="149" spans="1:3" s="13" customFormat="1" ht="12" x14ac:dyDescent="0.3">
      <c r="A149" s="435"/>
      <c r="B149" s="14" t="s">
        <v>63</v>
      </c>
      <c r="C149" s="15">
        <v>2000</v>
      </c>
    </row>
    <row r="150" spans="1:3" s="13" customFormat="1" ht="12" x14ac:dyDescent="0.3">
      <c r="A150" s="435"/>
      <c r="B150" s="11" t="s">
        <v>50</v>
      </c>
      <c r="C150" s="12">
        <f>C151*C152*C153</f>
        <v>84000</v>
      </c>
    </row>
    <row r="151" spans="1:3" s="13" customFormat="1" ht="12" x14ac:dyDescent="0.3">
      <c r="A151" s="435"/>
      <c r="B151" s="14" t="s">
        <v>64</v>
      </c>
      <c r="C151" s="15">
        <v>12</v>
      </c>
    </row>
    <row r="152" spans="1:3" s="13" customFormat="1" ht="12" x14ac:dyDescent="0.3">
      <c r="A152" s="435"/>
      <c r="B152" s="14" t="s">
        <v>68</v>
      </c>
      <c r="C152" s="15">
        <v>2</v>
      </c>
    </row>
    <row r="153" spans="1:3" s="13" customFormat="1" ht="12" x14ac:dyDescent="0.3">
      <c r="A153" s="435"/>
      <c r="B153" s="14" t="s">
        <v>63</v>
      </c>
      <c r="C153" s="15">
        <v>3500</v>
      </c>
    </row>
    <row r="154" spans="1:3" s="26" customFormat="1" ht="11.4" x14ac:dyDescent="0.3">
      <c r="A154" s="435"/>
      <c r="B154" s="11" t="s">
        <v>47</v>
      </c>
      <c r="C154" s="12">
        <v>5000.8900000000003</v>
      </c>
    </row>
    <row r="155" spans="1:3" s="26" customFormat="1" ht="11.4" x14ac:dyDescent="0.3">
      <c r="A155" s="435"/>
      <c r="B155" s="25" t="s">
        <v>27</v>
      </c>
      <c r="C155" s="24">
        <f>C156*C157</f>
        <v>9600</v>
      </c>
    </row>
    <row r="156" spans="1:3" s="13" customFormat="1" ht="12" x14ac:dyDescent="0.3">
      <c r="A156" s="435"/>
      <c r="B156" s="14" t="s">
        <v>114</v>
      </c>
      <c r="C156" s="15">
        <v>12</v>
      </c>
    </row>
    <row r="157" spans="1:3" s="13" customFormat="1" ht="12" x14ac:dyDescent="0.3">
      <c r="A157" s="435"/>
      <c r="B157" s="14" t="s">
        <v>110</v>
      </c>
      <c r="C157" s="15">
        <v>800</v>
      </c>
    </row>
    <row r="158" spans="1:3" s="26" customFormat="1" ht="11.4" x14ac:dyDescent="0.3">
      <c r="A158" s="435"/>
      <c r="B158" s="11" t="s">
        <v>17</v>
      </c>
      <c r="C158" s="12"/>
    </row>
    <row r="159" spans="1:3" s="13" customFormat="1" ht="12" x14ac:dyDescent="0.3">
      <c r="A159" s="435"/>
      <c r="B159" s="14" t="s">
        <v>114</v>
      </c>
      <c r="C159" s="15"/>
    </row>
    <row r="160" spans="1:3" s="13" customFormat="1" ht="12" x14ac:dyDescent="0.3">
      <c r="A160" s="435"/>
      <c r="B160" s="14" t="s">
        <v>110</v>
      </c>
      <c r="C160" s="15"/>
    </row>
    <row r="161" spans="1:4" s="26" customFormat="1" ht="11.4" x14ac:dyDescent="0.3">
      <c r="A161" s="435"/>
      <c r="B161" s="11" t="s">
        <v>18</v>
      </c>
      <c r="C161" s="12">
        <f>C162*C163</f>
        <v>12000</v>
      </c>
    </row>
    <row r="162" spans="1:4" s="13" customFormat="1" ht="12" x14ac:dyDescent="0.3">
      <c r="A162" s="435"/>
      <c r="B162" s="14" t="s">
        <v>66</v>
      </c>
      <c r="C162" s="15">
        <v>12</v>
      </c>
    </row>
    <row r="163" spans="1:4" s="13" customFormat="1" ht="12" x14ac:dyDescent="0.3">
      <c r="A163" s="435"/>
      <c r="B163" s="14" t="s">
        <v>63</v>
      </c>
      <c r="C163" s="15">
        <v>1000</v>
      </c>
    </row>
    <row r="164" spans="1:4" s="26" customFormat="1" ht="11.4" x14ac:dyDescent="0.3">
      <c r="A164" s="435"/>
      <c r="B164" s="11" t="s">
        <v>19</v>
      </c>
      <c r="C164" s="12">
        <f>C165*C166</f>
        <v>30000</v>
      </c>
    </row>
    <row r="165" spans="1:4" s="13" customFormat="1" ht="12" x14ac:dyDescent="0.3">
      <c r="A165" s="435"/>
      <c r="B165" s="14" t="s">
        <v>66</v>
      </c>
      <c r="C165" s="15">
        <v>15</v>
      </c>
    </row>
    <row r="166" spans="1:4" s="13" customFormat="1" ht="12" x14ac:dyDescent="0.3">
      <c r="A166" s="435"/>
      <c r="B166" s="14" t="s">
        <v>63</v>
      </c>
      <c r="C166" s="15">
        <v>2000</v>
      </c>
    </row>
    <row r="167" spans="1:4" s="13" customFormat="1" ht="12" x14ac:dyDescent="0.3">
      <c r="A167" s="435"/>
      <c r="B167" s="182" t="s">
        <v>210</v>
      </c>
      <c r="C167" s="183">
        <v>8500</v>
      </c>
    </row>
    <row r="168" spans="1:4" s="13" customFormat="1" ht="12" x14ac:dyDescent="0.3">
      <c r="A168" s="435"/>
      <c r="B168" s="182" t="s">
        <v>211</v>
      </c>
      <c r="C168" s="183">
        <v>10600</v>
      </c>
    </row>
    <row r="169" spans="1:4" s="26" customFormat="1" ht="11.4" x14ac:dyDescent="0.3">
      <c r="A169" s="436"/>
      <c r="B169" s="16" t="s">
        <v>88</v>
      </c>
      <c r="C169" s="17">
        <f>C105+C106+C109+C112+C115+C118+C121+C124+C127+C128+C131+C132+C133+C134+C138+C141+C146+C150+C154+C155+C161+C164+C167+C168</f>
        <v>630064.99752000009</v>
      </c>
    </row>
    <row r="170" spans="1:4" s="13" customFormat="1" ht="12" x14ac:dyDescent="0.3">
      <c r="A170" s="440">
        <v>290</v>
      </c>
      <c r="B170" s="27" t="s">
        <v>20</v>
      </c>
      <c r="C170" s="15">
        <v>65000</v>
      </c>
    </row>
    <row r="171" spans="1:4" s="13" customFormat="1" ht="12" x14ac:dyDescent="0.3">
      <c r="A171" s="440"/>
      <c r="B171" s="27" t="s">
        <v>21</v>
      </c>
      <c r="C171" s="15">
        <v>70765</v>
      </c>
    </row>
    <row r="172" spans="1:4" s="26" customFormat="1" ht="11.4" x14ac:dyDescent="0.3">
      <c r="A172" s="440"/>
      <c r="B172" s="16" t="s">
        <v>87</v>
      </c>
      <c r="C172" s="17">
        <f>C170+C171</f>
        <v>135765</v>
      </c>
    </row>
    <row r="173" spans="1:4" s="13" customFormat="1" ht="12" x14ac:dyDescent="0.3">
      <c r="A173" s="440">
        <v>310</v>
      </c>
      <c r="B173" s="27" t="s">
        <v>212</v>
      </c>
      <c r="C173" s="15">
        <v>230000</v>
      </c>
    </row>
    <row r="174" spans="1:4" s="13" customFormat="1" ht="12" x14ac:dyDescent="0.3">
      <c r="A174" s="440"/>
      <c r="B174" s="27" t="s">
        <v>213</v>
      </c>
      <c r="C174" s="15">
        <v>120000</v>
      </c>
    </row>
    <row r="175" spans="1:4" s="26" customFormat="1" ht="11.4" x14ac:dyDescent="0.3">
      <c r="A175" s="440"/>
      <c r="B175" s="16" t="s">
        <v>127</v>
      </c>
      <c r="C175" s="17">
        <f>C173+C174</f>
        <v>350000</v>
      </c>
    </row>
    <row r="176" spans="1:4" s="308" customFormat="1" ht="15" customHeight="1" x14ac:dyDescent="0.3">
      <c r="A176" s="434">
        <v>340</v>
      </c>
      <c r="B176" s="22" t="s">
        <v>115</v>
      </c>
      <c r="C176" s="257">
        <f>C177*C178*C179</f>
        <v>296400</v>
      </c>
      <c r="D176" s="308">
        <f>C177*C178*D179</f>
        <v>204000</v>
      </c>
    </row>
    <row r="177" spans="1:4" s="13" customFormat="1" ht="12" x14ac:dyDescent="0.3">
      <c r="A177" s="435"/>
      <c r="B177" s="27" t="s">
        <v>75</v>
      </c>
      <c r="C177" s="15">
        <v>60</v>
      </c>
    </row>
    <row r="178" spans="1:4" s="13" customFormat="1" ht="12" x14ac:dyDescent="0.3">
      <c r="A178" s="435"/>
      <c r="B178" s="27" t="s">
        <v>76</v>
      </c>
      <c r="C178" s="15">
        <v>20</v>
      </c>
    </row>
    <row r="179" spans="1:4" s="157" customFormat="1" ht="12" x14ac:dyDescent="0.3">
      <c r="A179" s="435"/>
      <c r="B179" s="307" t="s">
        <v>77</v>
      </c>
      <c r="C179" s="260">
        <v>247</v>
      </c>
      <c r="D179" s="157">
        <v>170</v>
      </c>
    </row>
    <row r="180" spans="1:4" s="26" customFormat="1" ht="11.4" x14ac:dyDescent="0.3">
      <c r="A180" s="435"/>
      <c r="B180" s="11" t="s">
        <v>78</v>
      </c>
      <c r="C180" s="12"/>
    </row>
    <row r="181" spans="1:4" s="13" customFormat="1" ht="12" x14ac:dyDescent="0.3">
      <c r="A181" s="435"/>
      <c r="B181" s="27" t="s">
        <v>75</v>
      </c>
      <c r="C181" s="15"/>
    </row>
    <row r="182" spans="1:4" s="13" customFormat="1" ht="12" x14ac:dyDescent="0.3">
      <c r="A182" s="435"/>
      <c r="B182" s="27" t="s">
        <v>76</v>
      </c>
      <c r="C182" s="15"/>
    </row>
    <row r="183" spans="1:4" s="13" customFormat="1" ht="12" x14ac:dyDescent="0.3">
      <c r="A183" s="435"/>
      <c r="B183" s="27" t="s">
        <v>77</v>
      </c>
      <c r="C183" s="15"/>
    </row>
    <row r="184" spans="1:4" s="26" customFormat="1" ht="11.4" x14ac:dyDescent="0.3">
      <c r="A184" s="435"/>
      <c r="B184" s="11" t="s">
        <v>74</v>
      </c>
      <c r="C184" s="12">
        <f>C185*C186*C187</f>
        <v>148200</v>
      </c>
    </row>
    <row r="185" spans="1:4" s="13" customFormat="1" ht="12" x14ac:dyDescent="0.3">
      <c r="A185" s="435"/>
      <c r="B185" s="27" t="s">
        <v>75</v>
      </c>
      <c r="C185" s="15">
        <v>30</v>
      </c>
    </row>
    <row r="186" spans="1:4" s="13" customFormat="1" ht="12" x14ac:dyDescent="0.3">
      <c r="A186" s="435"/>
      <c r="B186" s="27" t="s">
        <v>76</v>
      </c>
      <c r="C186" s="15">
        <v>20</v>
      </c>
    </row>
    <row r="187" spans="1:4" s="13" customFormat="1" ht="12" x14ac:dyDescent="0.3">
      <c r="A187" s="435"/>
      <c r="B187" s="27" t="s">
        <v>77</v>
      </c>
      <c r="C187" s="15">
        <v>247</v>
      </c>
    </row>
    <row r="188" spans="1:4" s="26" customFormat="1" ht="11.4" x14ac:dyDescent="0.3">
      <c r="A188" s="435"/>
      <c r="B188" s="11" t="s">
        <v>71</v>
      </c>
      <c r="C188" s="12">
        <v>92400</v>
      </c>
    </row>
    <row r="189" spans="1:4" s="26" customFormat="1" ht="11.4" x14ac:dyDescent="0.3">
      <c r="A189" s="435"/>
      <c r="B189" s="25" t="s">
        <v>39</v>
      </c>
      <c r="C189" s="24">
        <f>SUM(C190:C196)</f>
        <v>125400</v>
      </c>
    </row>
    <row r="190" spans="1:4" s="26" customFormat="1" ht="12" x14ac:dyDescent="0.3">
      <c r="A190" s="435"/>
      <c r="B190" s="20" t="s">
        <v>214</v>
      </c>
      <c r="C190" s="21">
        <v>1200</v>
      </c>
    </row>
    <row r="191" spans="1:4" s="26" customFormat="1" ht="12" x14ac:dyDescent="0.3">
      <c r="A191" s="435"/>
      <c r="B191" s="20" t="s">
        <v>215</v>
      </c>
      <c r="C191" s="21">
        <v>1000</v>
      </c>
    </row>
    <row r="192" spans="1:4" s="26" customFormat="1" ht="12" x14ac:dyDescent="0.3">
      <c r="A192" s="435"/>
      <c r="B192" s="20" t="s">
        <v>216</v>
      </c>
      <c r="C192" s="21">
        <v>3500</v>
      </c>
    </row>
    <row r="193" spans="1:3" s="26" customFormat="1" ht="12" x14ac:dyDescent="0.3">
      <c r="A193" s="435"/>
      <c r="B193" s="20" t="s">
        <v>217</v>
      </c>
      <c r="C193" s="21">
        <v>80000</v>
      </c>
    </row>
    <row r="194" spans="1:3" s="26" customFormat="1" ht="12" x14ac:dyDescent="0.3">
      <c r="A194" s="435"/>
      <c r="B194" s="20" t="s">
        <v>218</v>
      </c>
      <c r="C194" s="21">
        <v>1200</v>
      </c>
    </row>
    <row r="195" spans="1:3" s="26" customFormat="1" ht="12" x14ac:dyDescent="0.3">
      <c r="A195" s="435"/>
      <c r="B195" s="20" t="s">
        <v>219</v>
      </c>
      <c r="C195" s="21">
        <v>3500</v>
      </c>
    </row>
    <row r="196" spans="1:3" s="26" customFormat="1" ht="12" x14ac:dyDescent="0.3">
      <c r="A196" s="435"/>
      <c r="B196" s="20" t="s">
        <v>220</v>
      </c>
      <c r="C196" s="21">
        <v>35000</v>
      </c>
    </row>
    <row r="197" spans="1:3" s="26" customFormat="1" ht="11.4" x14ac:dyDescent="0.3">
      <c r="A197" s="435"/>
      <c r="B197" s="25" t="s">
        <v>221</v>
      </c>
      <c r="C197" s="24">
        <v>5000</v>
      </c>
    </row>
    <row r="198" spans="1:3" s="26" customFormat="1" ht="11.4" x14ac:dyDescent="0.3">
      <c r="A198" s="435"/>
      <c r="B198" s="11" t="s">
        <v>22</v>
      </c>
      <c r="C198" s="12">
        <v>150000</v>
      </c>
    </row>
    <row r="199" spans="1:3" s="26" customFormat="1" ht="11.4" x14ac:dyDescent="0.3">
      <c r="A199" s="435"/>
      <c r="B199" s="25" t="s">
        <v>222</v>
      </c>
      <c r="C199" s="24">
        <v>45000</v>
      </c>
    </row>
    <row r="200" spans="1:3" s="26" customFormat="1" ht="12" x14ac:dyDescent="0.3">
      <c r="A200" s="435"/>
      <c r="B200" s="20" t="s">
        <v>223</v>
      </c>
      <c r="C200" s="21">
        <v>17000</v>
      </c>
    </row>
    <row r="201" spans="1:3" s="26" customFormat="1" ht="12" x14ac:dyDescent="0.3">
      <c r="A201" s="435"/>
      <c r="B201" s="20" t="s">
        <v>224</v>
      </c>
      <c r="C201" s="21">
        <v>5600</v>
      </c>
    </row>
    <row r="202" spans="1:3" s="26" customFormat="1" ht="12" x14ac:dyDescent="0.3">
      <c r="A202" s="435"/>
      <c r="B202" s="20" t="s">
        <v>225</v>
      </c>
      <c r="C202" s="21">
        <v>3000</v>
      </c>
    </row>
    <row r="203" spans="1:3" s="26" customFormat="1" ht="12" x14ac:dyDescent="0.3">
      <c r="A203" s="435"/>
      <c r="B203" s="20" t="s">
        <v>226</v>
      </c>
      <c r="C203" s="21">
        <v>2928</v>
      </c>
    </row>
    <row r="204" spans="1:3" s="26" customFormat="1" ht="12" x14ac:dyDescent="0.3">
      <c r="A204" s="435"/>
      <c r="B204" s="20" t="s">
        <v>227</v>
      </c>
      <c r="C204" s="21">
        <v>16472</v>
      </c>
    </row>
    <row r="205" spans="1:3" s="26" customFormat="1" ht="11.4" x14ac:dyDescent="0.3">
      <c r="A205" s="435"/>
      <c r="B205" s="25" t="s">
        <v>72</v>
      </c>
      <c r="C205" s="24">
        <v>14300</v>
      </c>
    </row>
    <row r="206" spans="1:3" s="26" customFormat="1" ht="11.4" x14ac:dyDescent="0.3">
      <c r="A206" s="435"/>
      <c r="B206" s="25" t="s">
        <v>136</v>
      </c>
      <c r="C206" s="24">
        <v>40000</v>
      </c>
    </row>
    <row r="207" spans="1:3" s="26" customFormat="1" ht="11.4" x14ac:dyDescent="0.3">
      <c r="A207" s="435"/>
      <c r="B207" s="25" t="s">
        <v>228</v>
      </c>
      <c r="C207" s="24">
        <v>30000</v>
      </c>
    </row>
    <row r="208" spans="1:3" s="26" customFormat="1" ht="11.4" x14ac:dyDescent="0.3">
      <c r="A208" s="435"/>
      <c r="B208" s="25" t="s">
        <v>229</v>
      </c>
      <c r="C208" s="24">
        <v>15000</v>
      </c>
    </row>
    <row r="209" spans="1:4" s="26" customFormat="1" ht="12" customHeight="1" x14ac:dyDescent="0.3">
      <c r="A209" s="435"/>
      <c r="B209" s="11" t="s">
        <v>53</v>
      </c>
      <c r="C209" s="12">
        <v>3000</v>
      </c>
    </row>
    <row r="210" spans="1:4" s="26" customFormat="1" ht="11.4" x14ac:dyDescent="0.3">
      <c r="A210" s="435"/>
      <c r="B210" s="25" t="s">
        <v>73</v>
      </c>
      <c r="C210" s="24"/>
    </row>
    <row r="211" spans="1:4" s="26" customFormat="1" ht="11.4" x14ac:dyDescent="0.3">
      <c r="A211" s="435"/>
      <c r="B211" s="11" t="s">
        <v>38</v>
      </c>
      <c r="C211" s="12">
        <f>C214*C215</f>
        <v>692496.80500000017</v>
      </c>
    </row>
    <row r="212" spans="1:4" s="13" customFormat="1" ht="12" x14ac:dyDescent="0.3">
      <c r="A212" s="435"/>
      <c r="B212" s="27" t="s">
        <v>117</v>
      </c>
      <c r="C212" s="15">
        <v>59345</v>
      </c>
    </row>
    <row r="213" spans="1:4" s="13" customFormat="1" ht="12" x14ac:dyDescent="0.3">
      <c r="A213" s="435"/>
      <c r="B213" s="27" t="s">
        <v>118</v>
      </c>
      <c r="C213" s="15">
        <v>33.340000000000003</v>
      </c>
    </row>
    <row r="214" spans="1:4" s="13" customFormat="1" ht="12" x14ac:dyDescent="0.3">
      <c r="A214" s="435"/>
      <c r="B214" s="27" t="s">
        <v>85</v>
      </c>
      <c r="C214" s="15">
        <f>C212*C213/100</f>
        <v>19785.623000000003</v>
      </c>
    </row>
    <row r="215" spans="1:4" s="13" customFormat="1" ht="12" x14ac:dyDescent="0.3">
      <c r="A215" s="435"/>
      <c r="B215" s="27" t="s">
        <v>116</v>
      </c>
      <c r="C215" s="15">
        <v>35</v>
      </c>
    </row>
    <row r="216" spans="1:4" s="26" customFormat="1" ht="11.4" x14ac:dyDescent="0.3">
      <c r="A216" s="435"/>
      <c r="B216" s="11" t="s">
        <v>23</v>
      </c>
      <c r="C216" s="12">
        <f>C217*C218</f>
        <v>1081200</v>
      </c>
    </row>
    <row r="217" spans="1:4" s="13" customFormat="1" ht="12" x14ac:dyDescent="0.3">
      <c r="A217" s="435"/>
      <c r="B217" s="27" t="s">
        <v>67</v>
      </c>
      <c r="C217" s="15">
        <v>204</v>
      </c>
    </row>
    <row r="218" spans="1:4" s="13" customFormat="1" ht="12" x14ac:dyDescent="0.3">
      <c r="A218" s="435"/>
      <c r="B218" s="27" t="s">
        <v>119</v>
      </c>
      <c r="C218" s="15">
        <v>5300</v>
      </c>
    </row>
    <row r="219" spans="1:4" s="26" customFormat="1" ht="11.4" x14ac:dyDescent="0.3">
      <c r="A219" s="435"/>
      <c r="B219" s="11" t="s">
        <v>24</v>
      </c>
      <c r="C219" s="29">
        <f>C220*C221</f>
        <v>20000</v>
      </c>
    </row>
    <row r="220" spans="1:4" s="13" customFormat="1" ht="12" x14ac:dyDescent="0.3">
      <c r="A220" s="435"/>
      <c r="B220" s="27" t="s">
        <v>67</v>
      </c>
      <c r="C220" s="15">
        <v>20</v>
      </c>
    </row>
    <row r="221" spans="1:4" s="13" customFormat="1" ht="12" x14ac:dyDescent="0.3">
      <c r="A221" s="435"/>
      <c r="B221" s="27" t="s">
        <v>120</v>
      </c>
      <c r="C221" s="15">
        <v>1000</v>
      </c>
    </row>
    <row r="222" spans="1:4" s="13" customFormat="1" ht="18.75" customHeight="1" x14ac:dyDescent="0.3">
      <c r="A222" s="436"/>
      <c r="B222" s="16" t="s">
        <v>86</v>
      </c>
      <c r="C222" s="17">
        <f>C176+C180+C184+C188+C189+C197+C198+C199+C205+C206+C207+C208+C209+C211+C216+C219</f>
        <v>2758396.8050000002</v>
      </c>
      <c r="D222" s="30"/>
    </row>
    <row r="223" spans="1:4" s="31" customFormat="1" ht="26.25" customHeight="1" x14ac:dyDescent="0.3">
      <c r="A223" s="438" t="s">
        <v>121</v>
      </c>
      <c r="B223" s="439"/>
      <c r="C223" s="34">
        <f>C11+C12+C22+C26+C45+C104+C169+C172+C175+C222</f>
        <v>7424202.89652</v>
      </c>
    </row>
    <row r="224" spans="1:4" s="31" customFormat="1" ht="14.4" x14ac:dyDescent="0.3">
      <c r="A224" s="438" t="s">
        <v>122</v>
      </c>
      <c r="B224" s="439"/>
      <c r="C224" s="34">
        <f>C223</f>
        <v>7424202.89652</v>
      </c>
    </row>
    <row r="225" spans="1:3" s="31" customFormat="1" ht="14.4" x14ac:dyDescent="0.3">
      <c r="A225" s="438" t="s">
        <v>123</v>
      </c>
      <c r="B225" s="439"/>
      <c r="C225" s="34">
        <f>C224</f>
        <v>7424202.89652</v>
      </c>
    </row>
    <row r="226" spans="1:3" s="31" customFormat="1" x14ac:dyDescent="0.3">
      <c r="A226" s="5"/>
      <c r="B226" s="33"/>
      <c r="C226" s="32"/>
    </row>
    <row r="227" spans="1:3" s="31" customFormat="1" x14ac:dyDescent="0.3">
      <c r="A227" s="5"/>
      <c r="B227" s="33"/>
      <c r="C227" s="32"/>
    </row>
    <row r="228" spans="1:3" s="31" customFormat="1" x14ac:dyDescent="0.3">
      <c r="A228" s="5"/>
      <c r="B228" s="31" t="s">
        <v>230</v>
      </c>
      <c r="C228" s="49" t="s">
        <v>231</v>
      </c>
    </row>
    <row r="229" spans="1:3" s="31" customFormat="1" x14ac:dyDescent="0.3">
      <c r="A229" s="5"/>
      <c r="B229" s="33"/>
      <c r="C229" s="49"/>
    </row>
    <row r="230" spans="1:3" s="31" customFormat="1" x14ac:dyDescent="0.3">
      <c r="A230" s="5"/>
      <c r="B230" s="31" t="s">
        <v>130</v>
      </c>
      <c r="C230" s="49" t="s">
        <v>232</v>
      </c>
    </row>
    <row r="231" spans="1:3" s="31" customFormat="1" x14ac:dyDescent="0.3">
      <c r="A231" s="5"/>
      <c r="C231" s="32"/>
    </row>
    <row r="232" spans="1:3" s="31" customFormat="1" x14ac:dyDescent="0.3">
      <c r="A232" s="5"/>
      <c r="C232" s="32"/>
    </row>
    <row r="233" spans="1:3" s="31" customFormat="1" x14ac:dyDescent="0.3">
      <c r="A233" s="5"/>
      <c r="C233" s="32"/>
    </row>
    <row r="234" spans="1:3" s="31" customFormat="1" x14ac:dyDescent="0.3">
      <c r="A234" s="5"/>
      <c r="C234" s="32"/>
    </row>
    <row r="235" spans="1:3" s="31" customFormat="1" x14ac:dyDescent="0.3">
      <c r="A235" s="5"/>
      <c r="C235" s="32"/>
    </row>
    <row r="236" spans="1:3" s="31" customFormat="1" x14ac:dyDescent="0.3">
      <c r="A236" s="5"/>
      <c r="C236" s="32"/>
    </row>
    <row r="237" spans="1:3" s="31" customFormat="1" x14ac:dyDescent="0.3">
      <c r="A237" s="5"/>
      <c r="C237" s="32"/>
    </row>
    <row r="238" spans="1:3" s="31" customFormat="1" x14ac:dyDescent="0.3">
      <c r="A238" s="5"/>
      <c r="C238" s="32"/>
    </row>
    <row r="239" spans="1:3" s="31" customFormat="1" x14ac:dyDescent="0.3">
      <c r="A239" s="5"/>
      <c r="C239" s="32"/>
    </row>
    <row r="240" spans="1:3" s="31" customFormat="1" x14ac:dyDescent="0.3">
      <c r="A240" s="5"/>
      <c r="C240" s="32"/>
    </row>
    <row r="241" spans="1:3" s="31" customFormat="1" x14ac:dyDescent="0.3">
      <c r="A241" s="5"/>
      <c r="C241" s="32"/>
    </row>
    <row r="242" spans="1:3" s="31" customFormat="1" x14ac:dyDescent="0.3">
      <c r="A242" s="5"/>
      <c r="C242" s="32"/>
    </row>
    <row r="243" spans="1:3" s="31" customFormat="1" x14ac:dyDescent="0.3">
      <c r="A243" s="5"/>
      <c r="C243" s="32"/>
    </row>
    <row r="244" spans="1:3" s="31" customFormat="1" x14ac:dyDescent="0.3">
      <c r="A244" s="5"/>
      <c r="C244" s="32"/>
    </row>
    <row r="245" spans="1:3" s="31" customFormat="1" x14ac:dyDescent="0.3">
      <c r="A245" s="5"/>
      <c r="C245" s="32"/>
    </row>
    <row r="246" spans="1:3" s="31" customFormat="1" x14ac:dyDescent="0.3">
      <c r="A246" s="5"/>
      <c r="C246" s="32"/>
    </row>
    <row r="247" spans="1:3" s="31" customFormat="1" x14ac:dyDescent="0.3">
      <c r="A247" s="5"/>
      <c r="C247" s="32"/>
    </row>
    <row r="248" spans="1:3" s="31" customFormat="1" x14ac:dyDescent="0.3">
      <c r="A248" s="5"/>
      <c r="C248" s="32"/>
    </row>
    <row r="249" spans="1:3" s="31" customFormat="1" x14ac:dyDescent="0.3">
      <c r="A249" s="5"/>
      <c r="C249" s="32"/>
    </row>
    <row r="250" spans="1:3" s="31" customFormat="1" x14ac:dyDescent="0.3">
      <c r="A250" s="5"/>
      <c r="C250" s="32"/>
    </row>
    <row r="251" spans="1:3" s="31" customFormat="1" x14ac:dyDescent="0.3">
      <c r="A251" s="5"/>
      <c r="C251" s="32"/>
    </row>
    <row r="252" spans="1:3" s="31" customFormat="1" x14ac:dyDescent="0.3">
      <c r="A252" s="5"/>
      <c r="C252" s="32"/>
    </row>
    <row r="253" spans="1:3" s="31" customFormat="1" x14ac:dyDescent="0.3">
      <c r="A253" s="5"/>
      <c r="C253" s="32"/>
    </row>
    <row r="254" spans="1:3" s="31" customFormat="1" x14ac:dyDescent="0.3">
      <c r="A254" s="5"/>
      <c r="C254" s="32"/>
    </row>
    <row r="255" spans="1:3" s="31" customFormat="1" x14ac:dyDescent="0.3">
      <c r="A255" s="5"/>
      <c r="C255" s="32"/>
    </row>
    <row r="256" spans="1:3" s="31" customFormat="1" x14ac:dyDescent="0.3">
      <c r="A256" s="5"/>
      <c r="C256" s="32"/>
    </row>
    <row r="257" spans="1:3" s="31" customFormat="1" x14ac:dyDescent="0.3">
      <c r="A257" s="5"/>
      <c r="C257" s="32"/>
    </row>
    <row r="258" spans="1:3" s="31" customFormat="1" x14ac:dyDescent="0.3">
      <c r="A258" s="5"/>
      <c r="C258" s="32"/>
    </row>
    <row r="259" spans="1:3" s="31" customFormat="1" x14ac:dyDescent="0.3">
      <c r="A259" s="5"/>
      <c r="C259" s="32"/>
    </row>
    <row r="260" spans="1:3" s="31" customFormat="1" x14ac:dyDescent="0.3">
      <c r="A260" s="5"/>
      <c r="C260" s="32"/>
    </row>
    <row r="261" spans="1:3" s="31" customFormat="1" x14ac:dyDescent="0.3">
      <c r="A261" s="5"/>
      <c r="C261" s="32"/>
    </row>
    <row r="262" spans="1:3" s="31" customFormat="1" x14ac:dyDescent="0.3">
      <c r="A262" s="5"/>
      <c r="C262" s="32"/>
    </row>
    <row r="263" spans="1:3" s="31" customFormat="1" x14ac:dyDescent="0.3">
      <c r="A263" s="5"/>
      <c r="C263" s="32"/>
    </row>
    <row r="264" spans="1:3" s="31" customFormat="1" x14ac:dyDescent="0.3">
      <c r="A264" s="5"/>
      <c r="C264" s="32"/>
    </row>
    <row r="265" spans="1:3" s="31" customFormat="1" x14ac:dyDescent="0.3">
      <c r="A265" s="5"/>
      <c r="C265" s="32"/>
    </row>
    <row r="266" spans="1:3" s="31" customFormat="1" x14ac:dyDescent="0.3">
      <c r="A266" s="5"/>
      <c r="C266" s="32"/>
    </row>
    <row r="267" spans="1:3" s="31" customFormat="1" x14ac:dyDescent="0.3">
      <c r="A267" s="5"/>
      <c r="C267" s="32"/>
    </row>
    <row r="268" spans="1:3" s="31" customFormat="1" x14ac:dyDescent="0.3">
      <c r="A268" s="5"/>
      <c r="C268" s="32"/>
    </row>
    <row r="269" spans="1:3" s="31" customFormat="1" x14ac:dyDescent="0.3">
      <c r="A269" s="5"/>
      <c r="C269" s="32"/>
    </row>
    <row r="270" spans="1:3" s="31" customFormat="1" x14ac:dyDescent="0.3">
      <c r="A270" s="5"/>
      <c r="C270" s="32"/>
    </row>
    <row r="271" spans="1:3" s="31" customFormat="1" x14ac:dyDescent="0.3">
      <c r="A271" s="5"/>
      <c r="C271" s="32"/>
    </row>
    <row r="272" spans="1:3" s="31" customFormat="1" x14ac:dyDescent="0.3">
      <c r="A272" s="5"/>
      <c r="C272" s="32"/>
    </row>
    <row r="273" spans="1:3" s="31" customFormat="1" x14ac:dyDescent="0.3">
      <c r="A273" s="5"/>
      <c r="C273" s="32"/>
    </row>
    <row r="274" spans="1:3" s="31" customFormat="1" x14ac:dyDescent="0.3">
      <c r="A274" s="5"/>
      <c r="C274" s="32"/>
    </row>
    <row r="275" spans="1:3" s="31" customFormat="1" x14ac:dyDescent="0.3">
      <c r="A275" s="5"/>
      <c r="C275" s="32"/>
    </row>
    <row r="276" spans="1:3" s="31" customFormat="1" x14ac:dyDescent="0.3">
      <c r="A276" s="5"/>
      <c r="C276" s="32"/>
    </row>
    <row r="277" spans="1:3" s="31" customFormat="1" x14ac:dyDescent="0.3">
      <c r="A277" s="5"/>
      <c r="C277" s="32"/>
    </row>
    <row r="278" spans="1:3" s="31" customFormat="1" x14ac:dyDescent="0.3">
      <c r="A278" s="5"/>
      <c r="C278" s="32"/>
    </row>
    <row r="279" spans="1:3" s="31" customFormat="1" x14ac:dyDescent="0.3">
      <c r="A279" s="5"/>
      <c r="C279" s="32"/>
    </row>
    <row r="280" spans="1:3" s="31" customFormat="1" x14ac:dyDescent="0.3">
      <c r="A280" s="5"/>
      <c r="C280" s="32"/>
    </row>
    <row r="281" spans="1:3" s="31" customFormat="1" x14ac:dyDescent="0.3">
      <c r="A281" s="5"/>
      <c r="C281" s="32"/>
    </row>
    <row r="282" spans="1:3" x14ac:dyDescent="0.25">
      <c r="C282" s="8"/>
    </row>
    <row r="283" spans="1:3" x14ac:dyDescent="0.25">
      <c r="C283" s="8"/>
    </row>
    <row r="284" spans="1:3" x14ac:dyDescent="0.25">
      <c r="C284" s="8"/>
    </row>
    <row r="285" spans="1:3" x14ac:dyDescent="0.25">
      <c r="C285" s="8"/>
    </row>
    <row r="286" spans="1:3" x14ac:dyDescent="0.25">
      <c r="C286" s="8"/>
    </row>
    <row r="287" spans="1:3" x14ac:dyDescent="0.25">
      <c r="C287" s="8"/>
    </row>
    <row r="288" spans="1:3" x14ac:dyDescent="0.25">
      <c r="C288" s="8"/>
    </row>
    <row r="289" spans="3:3" x14ac:dyDescent="0.25">
      <c r="C289" s="8"/>
    </row>
  </sheetData>
  <mergeCells count="14">
    <mergeCell ref="A27:A45"/>
    <mergeCell ref="A46:A104"/>
    <mergeCell ref="A105:A169"/>
    <mergeCell ref="A170:A172"/>
    <mergeCell ref="A2:C2"/>
    <mergeCell ref="B3:C3"/>
    <mergeCell ref="A5:A11"/>
    <mergeCell ref="A13:A22"/>
    <mergeCell ref="A23:A26"/>
    <mergeCell ref="A176:A222"/>
    <mergeCell ref="A223:B223"/>
    <mergeCell ref="A224:B224"/>
    <mergeCell ref="A225:B225"/>
    <mergeCell ref="A173:A175"/>
  </mergeCells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310"/>
  <sheetViews>
    <sheetView view="pageBreakPreview" topLeftCell="A175" zoomScale="90" zoomScaleSheetLayoutView="90" workbookViewId="0">
      <selection activeCell="B230" sqref="B230"/>
    </sheetView>
  </sheetViews>
  <sheetFormatPr defaultColWidth="9.109375" defaultRowHeight="13.8" x14ac:dyDescent="0.25"/>
  <cols>
    <col min="1" max="1" width="5" style="40" customWidth="1"/>
    <col min="2" max="2" width="30.109375" style="37" customWidth="1"/>
    <col min="3" max="3" width="41" style="39" customWidth="1"/>
    <col min="4" max="4" width="14.88671875" style="37" customWidth="1"/>
    <col min="5" max="16384" width="9.109375" style="37"/>
  </cols>
  <sheetData>
    <row r="1" spans="1:4" ht="12" customHeight="1" x14ac:dyDescent="0.3">
      <c r="A1" s="184"/>
      <c r="B1" s="473" t="s">
        <v>124</v>
      </c>
      <c r="C1" s="473"/>
      <c r="D1" s="473"/>
    </row>
    <row r="2" spans="1:4" ht="14.4" x14ac:dyDescent="0.3">
      <c r="A2" s="184"/>
      <c r="B2" s="184"/>
      <c r="C2" s="186" t="s">
        <v>95</v>
      </c>
      <c r="D2" s="184"/>
    </row>
    <row r="3" spans="1:4" ht="17.25" customHeight="1" x14ac:dyDescent="0.3">
      <c r="A3" s="474" t="s">
        <v>97</v>
      </c>
      <c r="B3" s="474"/>
      <c r="C3" s="474"/>
      <c r="D3" s="184"/>
    </row>
    <row r="4" spans="1:4" ht="37.5" customHeight="1" x14ac:dyDescent="0.3">
      <c r="A4" s="189"/>
      <c r="B4" s="477" t="s">
        <v>233</v>
      </c>
      <c r="C4" s="477"/>
      <c r="D4" s="184"/>
    </row>
    <row r="5" spans="1:4" s="38" customFormat="1" ht="27" customHeight="1" x14ac:dyDescent="0.25">
      <c r="A5" s="191"/>
      <c r="B5" s="188"/>
      <c r="C5" s="191" t="s">
        <v>99</v>
      </c>
      <c r="D5" s="185"/>
    </row>
    <row r="6" spans="1:4" s="42" customFormat="1" ht="12" x14ac:dyDescent="0.3">
      <c r="A6" s="478">
        <v>211</v>
      </c>
      <c r="B6" s="193" t="s">
        <v>100</v>
      </c>
      <c r="C6" s="194"/>
      <c r="D6" s="195"/>
    </row>
    <row r="7" spans="1:4" s="42" customFormat="1" ht="12" x14ac:dyDescent="0.3">
      <c r="A7" s="478"/>
      <c r="B7" s="196" t="s">
        <v>55</v>
      </c>
      <c r="C7" s="197"/>
      <c r="D7" s="195"/>
    </row>
    <row r="8" spans="1:4" s="42" customFormat="1" ht="12" x14ac:dyDescent="0.3">
      <c r="A8" s="478"/>
      <c r="B8" s="196" t="s">
        <v>56</v>
      </c>
      <c r="C8" s="197"/>
      <c r="D8" s="195"/>
    </row>
    <row r="9" spans="1:4" s="42" customFormat="1" ht="12" x14ac:dyDescent="0.3">
      <c r="A9" s="478"/>
      <c r="B9" s="193" t="s">
        <v>57</v>
      </c>
      <c r="C9" s="194"/>
      <c r="D9" s="195"/>
    </row>
    <row r="10" spans="1:4" s="42" customFormat="1" ht="12" x14ac:dyDescent="0.3">
      <c r="A10" s="478"/>
      <c r="B10" s="196" t="s">
        <v>55</v>
      </c>
      <c r="C10" s="197">
        <v>3.25</v>
      </c>
      <c r="D10" s="195"/>
    </row>
    <row r="11" spans="1:4" s="42" customFormat="1" ht="12" x14ac:dyDescent="0.3">
      <c r="A11" s="478"/>
      <c r="B11" s="196" t="s">
        <v>56</v>
      </c>
      <c r="C11" s="197">
        <v>8823</v>
      </c>
      <c r="D11" s="195"/>
    </row>
    <row r="12" spans="1:4" s="42" customFormat="1" ht="17.25" customHeight="1" x14ac:dyDescent="0.3">
      <c r="A12" s="478"/>
      <c r="B12" s="198" t="s">
        <v>94</v>
      </c>
      <c r="C12" s="199">
        <v>344097</v>
      </c>
      <c r="D12" s="195"/>
    </row>
    <row r="13" spans="1:4" s="42" customFormat="1" ht="46.5" customHeight="1" x14ac:dyDescent="0.3">
      <c r="A13" s="192">
        <v>213</v>
      </c>
      <c r="B13" s="198" t="s">
        <v>93</v>
      </c>
      <c r="C13" s="199">
        <v>103917.29399999999</v>
      </c>
      <c r="D13" s="195"/>
    </row>
    <row r="14" spans="1:4" s="42" customFormat="1" ht="16.5" customHeight="1" x14ac:dyDescent="0.3">
      <c r="A14" s="478">
        <v>221</v>
      </c>
      <c r="B14" s="200" t="s">
        <v>58</v>
      </c>
      <c r="C14" s="194">
        <v>18000</v>
      </c>
      <c r="D14" s="195"/>
    </row>
    <row r="15" spans="1:4" s="42" customFormat="1" ht="12" x14ac:dyDescent="0.3">
      <c r="A15" s="478"/>
      <c r="B15" s="196" t="s">
        <v>59</v>
      </c>
      <c r="C15" s="197">
        <v>2</v>
      </c>
      <c r="D15" s="195"/>
    </row>
    <row r="16" spans="1:4" s="42" customFormat="1" ht="12" x14ac:dyDescent="0.3">
      <c r="A16" s="478"/>
      <c r="B16" s="196" t="s">
        <v>61</v>
      </c>
      <c r="C16" s="197">
        <v>1500</v>
      </c>
      <c r="D16" s="195"/>
    </row>
    <row r="17" spans="1:3" s="42" customFormat="1" ht="12" x14ac:dyDescent="0.3">
      <c r="A17" s="478"/>
      <c r="B17" s="200" t="s">
        <v>0</v>
      </c>
      <c r="C17" s="194"/>
    </row>
    <row r="18" spans="1:3" s="42" customFormat="1" ht="12" x14ac:dyDescent="0.3">
      <c r="A18" s="478"/>
      <c r="B18" s="196" t="s">
        <v>79</v>
      </c>
      <c r="C18" s="197"/>
    </row>
    <row r="19" spans="1:3" s="42" customFormat="1" ht="12" x14ac:dyDescent="0.3">
      <c r="A19" s="478"/>
      <c r="B19" s="196" t="s">
        <v>60</v>
      </c>
      <c r="C19" s="197"/>
    </row>
    <row r="20" spans="1:3" s="42" customFormat="1" ht="12" x14ac:dyDescent="0.3">
      <c r="A20" s="478"/>
      <c r="B20" s="200" t="s">
        <v>1</v>
      </c>
      <c r="C20" s="194">
        <v>6000</v>
      </c>
    </row>
    <row r="21" spans="1:3" s="42" customFormat="1" ht="12" x14ac:dyDescent="0.3">
      <c r="A21" s="478"/>
      <c r="B21" s="196" t="s">
        <v>80</v>
      </c>
      <c r="C21" s="197">
        <v>200</v>
      </c>
    </row>
    <row r="22" spans="1:3" s="42" customFormat="1" ht="12" x14ac:dyDescent="0.3">
      <c r="A22" s="478"/>
      <c r="B22" s="196" t="s">
        <v>107</v>
      </c>
      <c r="C22" s="197">
        <v>30</v>
      </c>
    </row>
    <row r="23" spans="1:3" s="42" customFormat="1" ht="12" x14ac:dyDescent="0.3">
      <c r="A23" s="478"/>
      <c r="B23" s="198" t="s">
        <v>92</v>
      </c>
      <c r="C23" s="199">
        <v>24000</v>
      </c>
    </row>
    <row r="24" spans="1:3" s="42" customFormat="1" ht="12" x14ac:dyDescent="0.3">
      <c r="A24" s="478">
        <v>222</v>
      </c>
      <c r="B24" s="200" t="s">
        <v>62</v>
      </c>
      <c r="C24" s="201"/>
    </row>
    <row r="25" spans="1:3" s="42" customFormat="1" ht="12" x14ac:dyDescent="0.3">
      <c r="A25" s="478"/>
      <c r="B25" s="196" t="s">
        <v>81</v>
      </c>
      <c r="C25" s="197"/>
    </row>
    <row r="26" spans="1:3" s="42" customFormat="1" ht="12" x14ac:dyDescent="0.3">
      <c r="A26" s="478"/>
      <c r="B26" s="196" t="s">
        <v>106</v>
      </c>
      <c r="C26" s="197"/>
    </row>
    <row r="27" spans="1:3" s="42" customFormat="1" ht="12" x14ac:dyDescent="0.3">
      <c r="A27" s="478"/>
      <c r="B27" s="198" t="s">
        <v>91</v>
      </c>
      <c r="C27" s="199"/>
    </row>
    <row r="28" spans="1:3" s="42" customFormat="1" ht="12" x14ac:dyDescent="0.3">
      <c r="A28" s="478">
        <v>223</v>
      </c>
      <c r="B28" s="193" t="s">
        <v>2</v>
      </c>
      <c r="C28" s="194">
        <v>620640</v>
      </c>
    </row>
    <row r="29" spans="1:3" s="42" customFormat="1" ht="12" x14ac:dyDescent="0.3">
      <c r="A29" s="478"/>
      <c r="B29" s="196" t="s">
        <v>82</v>
      </c>
      <c r="C29" s="197">
        <v>86200</v>
      </c>
    </row>
    <row r="30" spans="1:3" s="42" customFormat="1" ht="12" x14ac:dyDescent="0.3">
      <c r="A30" s="478"/>
      <c r="B30" s="196" t="s">
        <v>108</v>
      </c>
      <c r="C30" s="197">
        <v>7.2</v>
      </c>
    </row>
    <row r="31" spans="1:3" s="42" customFormat="1" ht="12" x14ac:dyDescent="0.3">
      <c r="A31" s="478"/>
      <c r="B31" s="193" t="s">
        <v>3</v>
      </c>
      <c r="C31" s="194">
        <v>1723272</v>
      </c>
    </row>
    <row r="32" spans="1:3" s="42" customFormat="1" ht="12" x14ac:dyDescent="0.3">
      <c r="A32" s="478"/>
      <c r="B32" s="196" t="s">
        <v>83</v>
      </c>
      <c r="C32" s="197">
        <v>600</v>
      </c>
    </row>
    <row r="33" spans="1:3" s="42" customFormat="1" ht="12" x14ac:dyDescent="0.3">
      <c r="A33" s="478"/>
      <c r="B33" s="196" t="s">
        <v>108</v>
      </c>
      <c r="C33" s="197">
        <v>2872.12</v>
      </c>
    </row>
    <row r="34" spans="1:3" s="42" customFormat="1" ht="12" x14ac:dyDescent="0.3">
      <c r="A34" s="478"/>
      <c r="B34" s="193" t="s">
        <v>4</v>
      </c>
      <c r="C34" s="194">
        <v>125798.39999999999</v>
      </c>
    </row>
    <row r="35" spans="1:3" s="42" customFormat="1" ht="12" x14ac:dyDescent="0.3">
      <c r="A35" s="478"/>
      <c r="B35" s="196" t="s">
        <v>84</v>
      </c>
      <c r="C35" s="197">
        <v>3120</v>
      </c>
    </row>
    <row r="36" spans="1:3" s="42" customFormat="1" ht="12" x14ac:dyDescent="0.3">
      <c r="A36" s="478"/>
      <c r="B36" s="196" t="s">
        <v>108</v>
      </c>
      <c r="C36" s="197">
        <v>40.32</v>
      </c>
    </row>
    <row r="37" spans="1:3" s="42" customFormat="1" ht="12" x14ac:dyDescent="0.3">
      <c r="A37" s="478"/>
      <c r="B37" s="193" t="s">
        <v>29</v>
      </c>
      <c r="C37" s="194"/>
    </row>
    <row r="38" spans="1:3" s="42" customFormat="1" ht="12" x14ac:dyDescent="0.3">
      <c r="A38" s="478"/>
      <c r="B38" s="196" t="s">
        <v>84</v>
      </c>
      <c r="C38" s="197"/>
    </row>
    <row r="39" spans="1:3" s="42" customFormat="1" ht="12" x14ac:dyDescent="0.3">
      <c r="A39" s="478"/>
      <c r="B39" s="196" t="s">
        <v>108</v>
      </c>
      <c r="C39" s="197"/>
    </row>
    <row r="40" spans="1:3" s="42" customFormat="1" ht="12" x14ac:dyDescent="0.3">
      <c r="A40" s="478"/>
      <c r="B40" s="193" t="s">
        <v>5</v>
      </c>
      <c r="C40" s="194">
        <v>287788.79999999999</v>
      </c>
    </row>
    <row r="41" spans="1:3" s="42" customFormat="1" ht="12" x14ac:dyDescent="0.3">
      <c r="A41" s="478"/>
      <c r="B41" s="196" t="s">
        <v>84</v>
      </c>
      <c r="C41" s="197">
        <v>3120</v>
      </c>
    </row>
    <row r="42" spans="1:3" s="42" customFormat="1" ht="12" x14ac:dyDescent="0.3">
      <c r="A42" s="478"/>
      <c r="B42" s="196" t="s">
        <v>108</v>
      </c>
      <c r="C42" s="197">
        <v>92.24</v>
      </c>
    </row>
    <row r="43" spans="1:3" s="42" customFormat="1" ht="12" x14ac:dyDescent="0.3">
      <c r="A43" s="478"/>
      <c r="B43" s="193" t="s">
        <v>25</v>
      </c>
      <c r="C43" s="194"/>
    </row>
    <row r="44" spans="1:3" s="42" customFormat="1" ht="12" x14ac:dyDescent="0.3">
      <c r="A44" s="478"/>
      <c r="B44" s="196" t="s">
        <v>67</v>
      </c>
      <c r="C44" s="197"/>
    </row>
    <row r="45" spans="1:3" s="42" customFormat="1" ht="12" x14ac:dyDescent="0.3">
      <c r="A45" s="478"/>
      <c r="B45" s="196" t="s">
        <v>108</v>
      </c>
      <c r="C45" s="197"/>
    </row>
    <row r="46" spans="1:3" s="42" customFormat="1" ht="12" x14ac:dyDescent="0.3">
      <c r="A46" s="478"/>
      <c r="B46" s="198" t="s">
        <v>90</v>
      </c>
      <c r="C46" s="219">
        <v>2757499.2</v>
      </c>
    </row>
    <row r="47" spans="1:3" s="42" customFormat="1" ht="12" x14ac:dyDescent="0.3">
      <c r="A47" s="478">
        <v>225</v>
      </c>
      <c r="B47" s="193" t="s">
        <v>6</v>
      </c>
      <c r="C47" s="194">
        <v>35646</v>
      </c>
    </row>
    <row r="48" spans="1:3" s="42" customFormat="1" ht="12" x14ac:dyDescent="0.3">
      <c r="A48" s="478"/>
      <c r="B48" s="196" t="s">
        <v>84</v>
      </c>
      <c r="C48" s="197">
        <v>78</v>
      </c>
    </row>
    <row r="49" spans="1:4" s="42" customFormat="1" ht="12" x14ac:dyDescent="0.3">
      <c r="A49" s="478"/>
      <c r="B49" s="196" t="s">
        <v>108</v>
      </c>
      <c r="C49" s="197">
        <v>457</v>
      </c>
    </row>
    <row r="50" spans="1:4" s="42" customFormat="1" ht="12" x14ac:dyDescent="0.3">
      <c r="A50" s="478"/>
      <c r="B50" s="193" t="s">
        <v>7</v>
      </c>
      <c r="C50" s="194">
        <v>5440.68</v>
      </c>
    </row>
    <row r="51" spans="1:4" s="42" customFormat="1" ht="12" x14ac:dyDescent="0.3">
      <c r="A51" s="478"/>
      <c r="B51" s="196" t="s">
        <v>70</v>
      </c>
      <c r="C51" s="197">
        <v>889</v>
      </c>
    </row>
    <row r="52" spans="1:4" s="42" customFormat="1" ht="12" x14ac:dyDescent="0.3">
      <c r="A52" s="478"/>
      <c r="B52" s="196" t="s">
        <v>108</v>
      </c>
      <c r="C52" s="197">
        <v>0.51</v>
      </c>
    </row>
    <row r="53" spans="1:4" s="42" customFormat="1" ht="22.8" x14ac:dyDescent="0.3">
      <c r="A53" s="478"/>
      <c r="B53" s="193" t="s">
        <v>54</v>
      </c>
      <c r="C53" s="194"/>
    </row>
    <row r="54" spans="1:4" s="42" customFormat="1" ht="12" x14ac:dyDescent="0.3">
      <c r="A54" s="478"/>
      <c r="B54" s="202" t="s">
        <v>67</v>
      </c>
      <c r="C54" s="203"/>
    </row>
    <row r="55" spans="1:4" s="42" customFormat="1" ht="12" x14ac:dyDescent="0.3">
      <c r="A55" s="478"/>
      <c r="B55" s="196" t="s">
        <v>63</v>
      </c>
      <c r="C55" s="197"/>
    </row>
    <row r="56" spans="1:4" s="42" customFormat="1" ht="12" x14ac:dyDescent="0.3">
      <c r="A56" s="478"/>
      <c r="B56" s="193" t="s">
        <v>8</v>
      </c>
      <c r="C56" s="194">
        <v>14400</v>
      </c>
    </row>
    <row r="57" spans="1:4" s="42" customFormat="1" ht="12" x14ac:dyDescent="0.3">
      <c r="A57" s="478"/>
      <c r="B57" s="196" t="s">
        <v>109</v>
      </c>
      <c r="C57" s="197">
        <v>12</v>
      </c>
    </row>
    <row r="58" spans="1:4" s="42" customFormat="1" ht="12" x14ac:dyDescent="0.3">
      <c r="A58" s="478"/>
      <c r="B58" s="196" t="s">
        <v>110</v>
      </c>
      <c r="C58" s="197">
        <v>1200</v>
      </c>
    </row>
    <row r="59" spans="1:4" s="42" customFormat="1" ht="12" x14ac:dyDescent="0.3">
      <c r="A59" s="478"/>
      <c r="B59" s="193" t="s">
        <v>28</v>
      </c>
      <c r="C59" s="194"/>
    </row>
    <row r="60" spans="1:4" s="42" customFormat="1" ht="12" x14ac:dyDescent="0.3">
      <c r="A60" s="478"/>
      <c r="B60" s="196" t="s">
        <v>67</v>
      </c>
      <c r="C60" s="197"/>
    </row>
    <row r="61" spans="1:4" s="42" customFormat="1" ht="12" x14ac:dyDescent="0.3">
      <c r="A61" s="478"/>
      <c r="B61" s="196" t="s">
        <v>111</v>
      </c>
      <c r="C61" s="197"/>
    </row>
    <row r="62" spans="1:4" s="42" customFormat="1" ht="12" x14ac:dyDescent="0.3">
      <c r="A62" s="478"/>
      <c r="B62" s="193" t="s">
        <v>96</v>
      </c>
      <c r="C62" s="194">
        <v>100000</v>
      </c>
    </row>
    <row r="63" spans="1:4" s="42" customFormat="1" ht="12" x14ac:dyDescent="0.3">
      <c r="A63" s="478"/>
      <c r="B63" s="196"/>
      <c r="C63" s="197"/>
    </row>
    <row r="64" spans="1:4" s="157" customFormat="1" ht="12" x14ac:dyDescent="0.3">
      <c r="A64" s="478"/>
      <c r="B64" s="259" t="s">
        <v>234</v>
      </c>
      <c r="C64" s="260">
        <v>100000</v>
      </c>
      <c r="D64" s="157" t="s">
        <v>472</v>
      </c>
    </row>
    <row r="65" spans="1:5" s="42" customFormat="1" ht="12" x14ac:dyDescent="0.3">
      <c r="A65" s="478"/>
      <c r="B65" s="193" t="s">
        <v>103</v>
      </c>
      <c r="C65" s="194">
        <v>36000</v>
      </c>
    </row>
    <row r="66" spans="1:5" s="42" customFormat="1" ht="12" x14ac:dyDescent="0.3">
      <c r="A66" s="478"/>
      <c r="B66" s="196" t="s">
        <v>109</v>
      </c>
      <c r="C66" s="197">
        <v>12</v>
      </c>
    </row>
    <row r="67" spans="1:5" s="42" customFormat="1" ht="12" x14ac:dyDescent="0.3">
      <c r="A67" s="478"/>
      <c r="B67" s="196" t="s">
        <v>110</v>
      </c>
      <c r="C67" s="197">
        <v>3000</v>
      </c>
    </row>
    <row r="68" spans="1:5" s="42" customFormat="1" ht="12" x14ac:dyDescent="0.3">
      <c r="A68" s="478"/>
      <c r="B68" s="193" t="s">
        <v>26</v>
      </c>
      <c r="C68" s="194">
        <v>6000</v>
      </c>
    </row>
    <row r="69" spans="1:5" s="42" customFormat="1" ht="12" x14ac:dyDescent="0.3">
      <c r="A69" s="478"/>
      <c r="B69" s="196" t="s">
        <v>109</v>
      </c>
      <c r="C69" s="197">
        <v>12</v>
      </c>
    </row>
    <row r="70" spans="1:5" s="42" customFormat="1" ht="12" x14ac:dyDescent="0.3">
      <c r="A70" s="478"/>
      <c r="B70" s="196" t="s">
        <v>110</v>
      </c>
      <c r="C70" s="197">
        <v>500</v>
      </c>
    </row>
    <row r="71" spans="1:5" s="157" customFormat="1" ht="12" x14ac:dyDescent="0.3">
      <c r="A71" s="478"/>
      <c r="B71" s="274" t="s">
        <v>169</v>
      </c>
      <c r="C71" s="275">
        <v>80000</v>
      </c>
      <c r="D71" s="157">
        <v>100000</v>
      </c>
      <c r="E71" s="258">
        <f>D71-C71</f>
        <v>20000</v>
      </c>
    </row>
    <row r="72" spans="1:5" s="42" customFormat="1" ht="12" x14ac:dyDescent="0.3">
      <c r="A72" s="478"/>
      <c r="B72" s="204" t="s">
        <v>46</v>
      </c>
      <c r="C72" s="205"/>
    </row>
    <row r="73" spans="1:5" s="42" customFormat="1" ht="12" x14ac:dyDescent="0.3">
      <c r="A73" s="478"/>
      <c r="B73" s="193" t="s">
        <v>102</v>
      </c>
      <c r="C73" s="194">
        <v>150000</v>
      </c>
    </row>
    <row r="74" spans="1:5" s="42" customFormat="1" ht="12" x14ac:dyDescent="0.3">
      <c r="A74" s="478"/>
      <c r="B74" s="196" t="s">
        <v>67</v>
      </c>
      <c r="C74" s="197">
        <v>7</v>
      </c>
    </row>
    <row r="75" spans="1:5" s="42" customFormat="1" ht="12" x14ac:dyDescent="0.3">
      <c r="A75" s="478"/>
      <c r="B75" s="196" t="s">
        <v>69</v>
      </c>
      <c r="C75" s="197">
        <v>2</v>
      </c>
    </row>
    <row r="76" spans="1:5" s="42" customFormat="1" ht="12" x14ac:dyDescent="0.3">
      <c r="A76" s="478"/>
      <c r="B76" s="196" t="s">
        <v>105</v>
      </c>
      <c r="C76" s="197">
        <v>5000</v>
      </c>
    </row>
    <row r="77" spans="1:5" s="42" customFormat="1" ht="12" x14ac:dyDescent="0.3">
      <c r="A77" s="478"/>
      <c r="B77" s="196" t="s">
        <v>67</v>
      </c>
      <c r="C77" s="197">
        <v>4</v>
      </c>
    </row>
    <row r="78" spans="1:5" s="42" customFormat="1" ht="12" x14ac:dyDescent="0.3">
      <c r="A78" s="478"/>
      <c r="B78" s="196" t="s">
        <v>69</v>
      </c>
      <c r="C78" s="197">
        <v>2</v>
      </c>
    </row>
    <row r="79" spans="1:5" s="42" customFormat="1" ht="12" x14ac:dyDescent="0.3">
      <c r="A79" s="478"/>
      <c r="B79" s="196" t="s">
        <v>105</v>
      </c>
      <c r="C79" s="197">
        <v>10000</v>
      </c>
    </row>
    <row r="80" spans="1:5" s="42" customFormat="1" ht="12" x14ac:dyDescent="0.3">
      <c r="A80" s="478"/>
      <c r="B80" s="193" t="s">
        <v>32</v>
      </c>
      <c r="C80" s="194">
        <v>12000</v>
      </c>
    </row>
    <row r="81" spans="1:3" s="42" customFormat="1" ht="12" x14ac:dyDescent="0.3">
      <c r="A81" s="478"/>
      <c r="B81" s="196" t="s">
        <v>109</v>
      </c>
      <c r="C81" s="197">
        <v>12</v>
      </c>
    </row>
    <row r="82" spans="1:3" s="42" customFormat="1" ht="12" x14ac:dyDescent="0.3">
      <c r="A82" s="478"/>
      <c r="B82" s="196" t="s">
        <v>110</v>
      </c>
      <c r="C82" s="197">
        <v>1000</v>
      </c>
    </row>
    <row r="83" spans="1:3" s="42" customFormat="1" ht="12" x14ac:dyDescent="0.3">
      <c r="A83" s="478"/>
      <c r="B83" s="193" t="s">
        <v>49</v>
      </c>
      <c r="C83" s="194">
        <v>36000</v>
      </c>
    </row>
    <row r="84" spans="1:3" s="42" customFormat="1" ht="12" x14ac:dyDescent="0.3">
      <c r="A84" s="478"/>
      <c r="B84" s="196" t="s">
        <v>109</v>
      </c>
      <c r="C84" s="197">
        <v>12</v>
      </c>
    </row>
    <row r="85" spans="1:3" s="42" customFormat="1" ht="12" x14ac:dyDescent="0.3">
      <c r="A85" s="478"/>
      <c r="B85" s="196" t="s">
        <v>68</v>
      </c>
      <c r="C85" s="197">
        <v>2</v>
      </c>
    </row>
    <row r="86" spans="1:3" s="42" customFormat="1" ht="12" x14ac:dyDescent="0.3">
      <c r="A86" s="478"/>
      <c r="B86" s="196" t="s">
        <v>63</v>
      </c>
      <c r="C86" s="197">
        <v>1500</v>
      </c>
    </row>
    <row r="87" spans="1:3" s="42" customFormat="1" ht="12" x14ac:dyDescent="0.3">
      <c r="A87" s="478"/>
      <c r="B87" s="193" t="s">
        <v>33</v>
      </c>
      <c r="C87" s="194">
        <v>7000</v>
      </c>
    </row>
    <row r="88" spans="1:3" s="42" customFormat="1" ht="12" x14ac:dyDescent="0.3">
      <c r="A88" s="478"/>
      <c r="B88" s="206" t="s">
        <v>43</v>
      </c>
      <c r="C88" s="205"/>
    </row>
    <row r="89" spans="1:3" s="42" customFormat="1" ht="12" x14ac:dyDescent="0.3">
      <c r="A89" s="478"/>
      <c r="B89" s="193" t="s">
        <v>51</v>
      </c>
      <c r="C89" s="194">
        <v>15000</v>
      </c>
    </row>
    <row r="90" spans="1:3" s="42" customFormat="1" ht="12" x14ac:dyDescent="0.3">
      <c r="A90" s="478"/>
      <c r="B90" s="196" t="s">
        <v>104</v>
      </c>
      <c r="C90" s="197">
        <v>60</v>
      </c>
    </row>
    <row r="91" spans="1:3" s="42" customFormat="1" ht="12" x14ac:dyDescent="0.3">
      <c r="A91" s="478"/>
      <c r="B91" s="196" t="s">
        <v>105</v>
      </c>
      <c r="C91" s="197">
        <v>250</v>
      </c>
    </row>
    <row r="92" spans="1:3" s="42" customFormat="1" ht="12" x14ac:dyDescent="0.3">
      <c r="A92" s="478"/>
      <c r="B92" s="193" t="s">
        <v>52</v>
      </c>
      <c r="C92" s="194">
        <v>16800</v>
      </c>
    </row>
    <row r="93" spans="1:3" s="42" customFormat="1" ht="12" x14ac:dyDescent="0.3">
      <c r="A93" s="478"/>
      <c r="B93" s="196" t="s">
        <v>109</v>
      </c>
      <c r="C93" s="197">
        <v>12</v>
      </c>
    </row>
    <row r="94" spans="1:3" s="42" customFormat="1" ht="12" x14ac:dyDescent="0.3">
      <c r="A94" s="478"/>
      <c r="B94" s="196" t="s">
        <v>110</v>
      </c>
      <c r="C94" s="197">
        <v>1400</v>
      </c>
    </row>
    <row r="95" spans="1:3" s="42" customFormat="1" ht="12" x14ac:dyDescent="0.3">
      <c r="A95" s="478"/>
      <c r="B95" s="193" t="s">
        <v>45</v>
      </c>
      <c r="C95" s="194">
        <v>150000</v>
      </c>
    </row>
    <row r="96" spans="1:3" s="42" customFormat="1" ht="12" x14ac:dyDescent="0.3">
      <c r="A96" s="478"/>
      <c r="B96" s="206" t="s">
        <v>9</v>
      </c>
      <c r="C96" s="205">
        <v>30000</v>
      </c>
    </row>
    <row r="97" spans="1:3" s="42" customFormat="1" ht="12" x14ac:dyDescent="0.3">
      <c r="A97" s="478"/>
      <c r="B97" s="209" t="s">
        <v>235</v>
      </c>
      <c r="C97" s="216">
        <v>1000000</v>
      </c>
    </row>
    <row r="98" spans="1:3" s="42" customFormat="1" ht="12" x14ac:dyDescent="0.3">
      <c r="A98" s="478"/>
      <c r="B98" s="209" t="s">
        <v>236</v>
      </c>
      <c r="C98" s="216">
        <v>300000</v>
      </c>
    </row>
    <row r="99" spans="1:3" s="42" customFormat="1" ht="12" x14ac:dyDescent="0.3">
      <c r="A99" s="478"/>
      <c r="B99" s="209" t="s">
        <v>237</v>
      </c>
      <c r="C99" s="216">
        <v>200000</v>
      </c>
    </row>
    <row r="100" spans="1:3" s="42" customFormat="1" ht="22.8" x14ac:dyDescent="0.3">
      <c r="A100" s="478"/>
      <c r="B100" s="209" t="s">
        <v>238</v>
      </c>
      <c r="C100" s="216">
        <v>200000</v>
      </c>
    </row>
    <row r="101" spans="1:3" s="42" customFormat="1" ht="12" x14ac:dyDescent="0.3">
      <c r="A101" s="478"/>
      <c r="B101" s="209" t="s">
        <v>239</v>
      </c>
      <c r="C101" s="216">
        <v>100000</v>
      </c>
    </row>
    <row r="102" spans="1:3" s="42" customFormat="1" ht="12" x14ac:dyDescent="0.3">
      <c r="A102" s="478"/>
      <c r="B102" s="209" t="s">
        <v>240</v>
      </c>
      <c r="C102" s="216">
        <v>200000</v>
      </c>
    </row>
    <row r="103" spans="1:3" s="42" customFormat="1" ht="12" x14ac:dyDescent="0.3">
      <c r="A103" s="478"/>
      <c r="B103" s="198" t="s">
        <v>89</v>
      </c>
      <c r="C103" s="199">
        <v>2694286.6799999997</v>
      </c>
    </row>
    <row r="104" spans="1:3" s="47" customFormat="1" ht="12" x14ac:dyDescent="0.3">
      <c r="A104" s="462">
        <v>226</v>
      </c>
      <c r="B104" s="206" t="s">
        <v>10</v>
      </c>
      <c r="C104" s="205">
        <v>23100</v>
      </c>
    </row>
    <row r="105" spans="1:3" s="47" customFormat="1" ht="12" x14ac:dyDescent="0.3">
      <c r="A105" s="463"/>
      <c r="B105" s="193" t="s">
        <v>11</v>
      </c>
      <c r="C105" s="194">
        <v>150000</v>
      </c>
    </row>
    <row r="106" spans="1:3" s="47" customFormat="1" ht="12" x14ac:dyDescent="0.3">
      <c r="A106" s="463"/>
      <c r="B106" s="196" t="s">
        <v>68</v>
      </c>
      <c r="C106" s="197">
        <v>50</v>
      </c>
    </row>
    <row r="107" spans="1:3" s="47" customFormat="1" ht="12" x14ac:dyDescent="0.3">
      <c r="A107" s="463"/>
      <c r="B107" s="196" t="s">
        <v>112</v>
      </c>
      <c r="C107" s="197">
        <v>3000</v>
      </c>
    </row>
    <row r="108" spans="1:3" s="47" customFormat="1" ht="12" x14ac:dyDescent="0.3">
      <c r="A108" s="463"/>
      <c r="B108" s="193" t="s">
        <v>42</v>
      </c>
      <c r="C108" s="194">
        <v>0</v>
      </c>
    </row>
    <row r="109" spans="1:3" s="47" customFormat="1" ht="12" x14ac:dyDescent="0.3">
      <c r="A109" s="463"/>
      <c r="B109" s="196" t="s">
        <v>68</v>
      </c>
      <c r="C109" s="197"/>
    </row>
    <row r="110" spans="1:3" s="47" customFormat="1" ht="12" x14ac:dyDescent="0.3">
      <c r="A110" s="463"/>
      <c r="B110" s="196" t="s">
        <v>112</v>
      </c>
      <c r="C110" s="197"/>
    </row>
    <row r="111" spans="1:3" s="47" customFormat="1" ht="12" x14ac:dyDescent="0.3">
      <c r="A111" s="463"/>
      <c r="B111" s="193" t="s">
        <v>12</v>
      </c>
      <c r="C111" s="194">
        <v>48000</v>
      </c>
    </row>
    <row r="112" spans="1:3" s="47" customFormat="1" ht="12" x14ac:dyDescent="0.3">
      <c r="A112" s="463"/>
      <c r="B112" s="196" t="s">
        <v>109</v>
      </c>
      <c r="C112" s="197">
        <v>12</v>
      </c>
    </row>
    <row r="113" spans="1:5" s="42" customFormat="1" ht="12" x14ac:dyDescent="0.3">
      <c r="A113" s="463"/>
      <c r="B113" s="196" t="s">
        <v>110</v>
      </c>
      <c r="C113" s="197">
        <v>4000</v>
      </c>
      <c r="D113" s="44"/>
      <c r="E113" s="44" t="e">
        <f>ст.225!#REF!-ШС3!C54</f>
        <v>#REF!</v>
      </c>
    </row>
    <row r="114" spans="1:5" s="42" customFormat="1" ht="12" x14ac:dyDescent="0.3">
      <c r="A114" s="463"/>
      <c r="B114" s="193" t="s">
        <v>36</v>
      </c>
      <c r="C114" s="194">
        <v>30000</v>
      </c>
    </row>
    <row r="115" spans="1:5" s="42" customFormat="1" ht="12" x14ac:dyDescent="0.3">
      <c r="A115" s="463"/>
      <c r="B115" s="196" t="s">
        <v>109</v>
      </c>
      <c r="C115" s="197">
        <v>12</v>
      </c>
    </row>
    <row r="116" spans="1:5" s="42" customFormat="1" ht="12" x14ac:dyDescent="0.3">
      <c r="A116" s="463"/>
      <c r="B116" s="196" t="s">
        <v>110</v>
      </c>
      <c r="C116" s="197">
        <v>2500</v>
      </c>
    </row>
    <row r="117" spans="1:5" s="42" customFormat="1" ht="12" x14ac:dyDescent="0.3">
      <c r="A117" s="463"/>
      <c r="B117" s="193" t="s">
        <v>113</v>
      </c>
      <c r="C117" s="194">
        <v>6000</v>
      </c>
    </row>
    <row r="118" spans="1:5" s="42" customFormat="1" ht="12" x14ac:dyDescent="0.3">
      <c r="A118" s="463"/>
      <c r="B118" s="196" t="s">
        <v>109</v>
      </c>
      <c r="C118" s="197">
        <v>1</v>
      </c>
    </row>
    <row r="119" spans="1:5" s="42" customFormat="1" ht="12" x14ac:dyDescent="0.3">
      <c r="A119" s="463"/>
      <c r="B119" s="196" t="s">
        <v>110</v>
      </c>
      <c r="C119" s="197">
        <v>6000</v>
      </c>
    </row>
    <row r="120" spans="1:5" s="42" customFormat="1" ht="12" x14ac:dyDescent="0.3">
      <c r="A120" s="463"/>
      <c r="B120" s="193" t="s">
        <v>41</v>
      </c>
      <c r="C120" s="194">
        <v>40000</v>
      </c>
    </row>
    <row r="121" spans="1:5" s="42" customFormat="1" ht="12" x14ac:dyDescent="0.3">
      <c r="A121" s="463"/>
      <c r="B121" s="196" t="s">
        <v>66</v>
      </c>
      <c r="C121" s="197">
        <v>4</v>
      </c>
    </row>
    <row r="122" spans="1:5" s="42" customFormat="1" ht="12" x14ac:dyDescent="0.3">
      <c r="A122" s="463"/>
      <c r="B122" s="196" t="s">
        <v>63</v>
      </c>
      <c r="C122" s="197">
        <v>10000</v>
      </c>
    </row>
    <row r="123" spans="1:5" s="42" customFormat="1" ht="12" x14ac:dyDescent="0.3">
      <c r="A123" s="463"/>
      <c r="B123" s="193" t="s">
        <v>40</v>
      </c>
      <c r="C123" s="194">
        <v>8000</v>
      </c>
    </row>
    <row r="124" spans="1:5" s="42" customFormat="1" ht="12" x14ac:dyDescent="0.3">
      <c r="A124" s="463"/>
      <c r="B124" s="196" t="s">
        <v>66</v>
      </c>
      <c r="C124" s="197">
        <v>1</v>
      </c>
    </row>
    <row r="125" spans="1:5" s="42" customFormat="1" ht="12" x14ac:dyDescent="0.3">
      <c r="A125" s="463"/>
      <c r="B125" s="196" t="s">
        <v>63</v>
      </c>
      <c r="C125" s="197">
        <v>8000</v>
      </c>
    </row>
    <row r="126" spans="1:5" s="42" customFormat="1" ht="12" x14ac:dyDescent="0.3">
      <c r="A126" s="463"/>
      <c r="B126" s="193" t="s">
        <v>37</v>
      </c>
      <c r="C126" s="194">
        <v>2400</v>
      </c>
    </row>
    <row r="127" spans="1:5" s="42" customFormat="1" ht="12" x14ac:dyDescent="0.3">
      <c r="A127" s="463"/>
      <c r="B127" s="206" t="s">
        <v>44</v>
      </c>
      <c r="C127" s="205">
        <v>15050</v>
      </c>
    </row>
    <row r="128" spans="1:5" s="42" customFormat="1" ht="12" x14ac:dyDescent="0.3">
      <c r="A128" s="463"/>
      <c r="B128" s="196" t="s">
        <v>66</v>
      </c>
      <c r="C128" s="197">
        <v>70</v>
      </c>
    </row>
    <row r="129" spans="1:4" s="42" customFormat="1" ht="12" x14ac:dyDescent="0.3">
      <c r="A129" s="463"/>
      <c r="B129" s="196" t="s">
        <v>63</v>
      </c>
      <c r="C129" s="197">
        <v>215</v>
      </c>
    </row>
    <row r="130" spans="1:4" s="42" customFormat="1" ht="12" x14ac:dyDescent="0.3">
      <c r="A130" s="463"/>
      <c r="B130" s="206" t="s">
        <v>13</v>
      </c>
      <c r="C130" s="205">
        <v>10000</v>
      </c>
    </row>
    <row r="131" spans="1:4" s="42" customFormat="1" ht="12" x14ac:dyDescent="0.3">
      <c r="A131" s="463"/>
      <c r="B131" s="193" t="s">
        <v>14</v>
      </c>
      <c r="C131" s="194">
        <v>10000</v>
      </c>
    </row>
    <row r="132" spans="1:4" s="42" customFormat="1" ht="12" x14ac:dyDescent="0.3">
      <c r="A132" s="463"/>
      <c r="B132" s="206" t="s">
        <v>30</v>
      </c>
      <c r="C132" s="205">
        <v>5000</v>
      </c>
    </row>
    <row r="133" spans="1:4" s="157" customFormat="1" ht="12" x14ac:dyDescent="0.3">
      <c r="A133" s="463"/>
      <c r="B133" s="274" t="s">
        <v>48</v>
      </c>
      <c r="C133" s="275">
        <v>10000</v>
      </c>
      <c r="D133" s="157" t="s">
        <v>181</v>
      </c>
    </row>
    <row r="134" spans="1:4" s="42" customFormat="1" ht="12" x14ac:dyDescent="0.3">
      <c r="A134" s="463"/>
      <c r="B134" s="196" t="s">
        <v>66</v>
      </c>
      <c r="C134" s="197">
        <v>1</v>
      </c>
    </row>
    <row r="135" spans="1:4" s="42" customFormat="1" ht="12" x14ac:dyDescent="0.3">
      <c r="A135" s="463"/>
      <c r="B135" s="196" t="s">
        <v>63</v>
      </c>
      <c r="C135" s="197">
        <v>10000</v>
      </c>
    </row>
    <row r="136" spans="1:4" s="42" customFormat="1" ht="12" x14ac:dyDescent="0.3">
      <c r="A136" s="463"/>
      <c r="B136" s="193" t="s">
        <v>15</v>
      </c>
      <c r="C136" s="194">
        <v>2500</v>
      </c>
    </row>
    <row r="137" spans="1:4" s="42" customFormat="1" ht="12" x14ac:dyDescent="0.3">
      <c r="A137" s="463"/>
      <c r="B137" s="206" t="s">
        <v>16</v>
      </c>
      <c r="C137" s="205">
        <v>42000</v>
      </c>
    </row>
    <row r="138" spans="1:4" s="42" customFormat="1" ht="12" x14ac:dyDescent="0.3">
      <c r="A138" s="463"/>
      <c r="B138" s="196" t="s">
        <v>66</v>
      </c>
      <c r="C138" s="197">
        <v>7</v>
      </c>
    </row>
    <row r="139" spans="1:4" s="42" customFormat="1" ht="12" x14ac:dyDescent="0.3">
      <c r="A139" s="463"/>
      <c r="B139" s="196" t="s">
        <v>112</v>
      </c>
      <c r="C139" s="197">
        <v>6000</v>
      </c>
    </row>
    <row r="140" spans="1:4" s="42" customFormat="1" ht="12" x14ac:dyDescent="0.3">
      <c r="A140" s="463"/>
      <c r="B140" s="193" t="s">
        <v>34</v>
      </c>
      <c r="C140" s="194">
        <v>40000</v>
      </c>
    </row>
    <row r="141" spans="1:4" s="42" customFormat="1" ht="12" x14ac:dyDescent="0.3">
      <c r="A141" s="463"/>
      <c r="B141" s="196" t="s">
        <v>66</v>
      </c>
      <c r="C141" s="197">
        <v>2</v>
      </c>
    </row>
    <row r="142" spans="1:4" s="42" customFormat="1" ht="12" x14ac:dyDescent="0.3">
      <c r="A142" s="463"/>
      <c r="B142" s="196" t="s">
        <v>63</v>
      </c>
      <c r="C142" s="197">
        <v>5000</v>
      </c>
    </row>
    <row r="143" spans="1:4" s="42" customFormat="1" ht="12" x14ac:dyDescent="0.3">
      <c r="A143" s="463"/>
      <c r="B143" s="196" t="s">
        <v>66</v>
      </c>
      <c r="C143" s="197">
        <v>2</v>
      </c>
    </row>
    <row r="144" spans="1:4" s="42" customFormat="1" ht="12" x14ac:dyDescent="0.3">
      <c r="A144" s="463"/>
      <c r="B144" s="196" t="s">
        <v>63</v>
      </c>
      <c r="C144" s="197">
        <v>15000</v>
      </c>
    </row>
    <row r="145" spans="1:3" s="42" customFormat="1" ht="12" x14ac:dyDescent="0.3">
      <c r="A145" s="463"/>
      <c r="B145" s="193" t="s">
        <v>35</v>
      </c>
      <c r="C145" s="194">
        <v>48000</v>
      </c>
    </row>
    <row r="146" spans="1:3" s="42" customFormat="1" ht="12" x14ac:dyDescent="0.3">
      <c r="A146" s="463"/>
      <c r="B146" s="196" t="s">
        <v>64</v>
      </c>
      <c r="C146" s="197"/>
    </row>
    <row r="147" spans="1:3" s="42" customFormat="1" ht="12" x14ac:dyDescent="0.3">
      <c r="A147" s="463"/>
      <c r="B147" s="196" t="s">
        <v>68</v>
      </c>
      <c r="C147" s="197">
        <v>2</v>
      </c>
    </row>
    <row r="148" spans="1:3" s="42" customFormat="1" ht="12" x14ac:dyDescent="0.3">
      <c r="A148" s="463"/>
      <c r="B148" s="196" t="s">
        <v>63</v>
      </c>
      <c r="C148" s="197">
        <v>2000</v>
      </c>
    </row>
    <row r="149" spans="1:3" s="42" customFormat="1" ht="12" x14ac:dyDescent="0.3">
      <c r="A149" s="463"/>
      <c r="B149" s="193" t="s">
        <v>50</v>
      </c>
      <c r="C149" s="194">
        <v>40600</v>
      </c>
    </row>
    <row r="150" spans="1:3" s="42" customFormat="1" ht="12" x14ac:dyDescent="0.3">
      <c r="A150" s="463"/>
      <c r="B150" s="196" t="s">
        <v>64</v>
      </c>
      <c r="C150" s="197">
        <v>290</v>
      </c>
    </row>
    <row r="151" spans="1:3" s="42" customFormat="1" ht="12" x14ac:dyDescent="0.3">
      <c r="A151" s="463"/>
      <c r="B151" s="196" t="s">
        <v>68</v>
      </c>
      <c r="C151" s="197">
        <v>2</v>
      </c>
    </row>
    <row r="152" spans="1:3" s="42" customFormat="1" ht="12" x14ac:dyDescent="0.3">
      <c r="A152" s="463"/>
      <c r="B152" s="196" t="s">
        <v>63</v>
      </c>
      <c r="C152" s="197">
        <v>70</v>
      </c>
    </row>
    <row r="153" spans="1:3" s="42" customFormat="1" ht="12" x14ac:dyDescent="0.3">
      <c r="A153" s="463"/>
      <c r="B153" s="193" t="s">
        <v>47</v>
      </c>
      <c r="C153" s="194">
        <v>5000</v>
      </c>
    </row>
    <row r="154" spans="1:3" s="42" customFormat="1" ht="12" x14ac:dyDescent="0.3">
      <c r="A154" s="463"/>
      <c r="B154" s="206" t="s">
        <v>27</v>
      </c>
      <c r="C154" s="205">
        <v>8880</v>
      </c>
    </row>
    <row r="155" spans="1:3" s="42" customFormat="1" ht="12" x14ac:dyDescent="0.3">
      <c r="A155" s="463"/>
      <c r="B155" s="196" t="s">
        <v>114</v>
      </c>
      <c r="C155" s="197">
        <v>12</v>
      </c>
    </row>
    <row r="156" spans="1:3" s="42" customFormat="1" ht="12" x14ac:dyDescent="0.3">
      <c r="A156" s="463"/>
      <c r="B156" s="196" t="s">
        <v>110</v>
      </c>
      <c r="C156" s="197">
        <v>740</v>
      </c>
    </row>
    <row r="157" spans="1:3" s="42" customFormat="1" ht="12" x14ac:dyDescent="0.3">
      <c r="A157" s="463"/>
      <c r="B157" s="193" t="s">
        <v>17</v>
      </c>
      <c r="C157" s="194"/>
    </row>
    <row r="158" spans="1:3" s="42" customFormat="1" ht="12" x14ac:dyDescent="0.3">
      <c r="A158" s="463"/>
      <c r="B158" s="196" t="s">
        <v>114</v>
      </c>
      <c r="C158" s="197"/>
    </row>
    <row r="159" spans="1:3" s="42" customFormat="1" ht="12" x14ac:dyDescent="0.3">
      <c r="A159" s="463"/>
      <c r="B159" s="196" t="s">
        <v>110</v>
      </c>
      <c r="C159" s="197"/>
    </row>
    <row r="160" spans="1:3" s="42" customFormat="1" ht="12" x14ac:dyDescent="0.3">
      <c r="A160" s="463"/>
      <c r="B160" s="193" t="s">
        <v>18</v>
      </c>
      <c r="C160" s="194">
        <v>13000</v>
      </c>
    </row>
    <row r="161" spans="1:3" s="42" customFormat="1" ht="12" x14ac:dyDescent="0.3">
      <c r="A161" s="463"/>
      <c r="B161" s="196" t="s">
        <v>66</v>
      </c>
      <c r="C161" s="197">
        <v>1000</v>
      </c>
    </row>
    <row r="162" spans="1:3" s="42" customFormat="1" ht="12" x14ac:dyDescent="0.3">
      <c r="A162" s="463"/>
      <c r="B162" s="196" t="s">
        <v>63</v>
      </c>
      <c r="C162" s="197">
        <v>13000</v>
      </c>
    </row>
    <row r="163" spans="1:3" s="43" customFormat="1" ht="11.4" x14ac:dyDescent="0.3">
      <c r="A163" s="463"/>
      <c r="B163" s="193" t="s">
        <v>19</v>
      </c>
      <c r="C163" s="194">
        <v>15000</v>
      </c>
    </row>
    <row r="164" spans="1:3" s="43" customFormat="1" ht="12" x14ac:dyDescent="0.3">
      <c r="A164" s="463"/>
      <c r="B164" s="196" t="s">
        <v>66</v>
      </c>
      <c r="C164" s="197">
        <v>5</v>
      </c>
    </row>
    <row r="165" spans="1:3" s="42" customFormat="1" ht="12" x14ac:dyDescent="0.3">
      <c r="A165" s="463"/>
      <c r="B165" s="196" t="s">
        <v>63</v>
      </c>
      <c r="C165" s="197">
        <v>3000</v>
      </c>
    </row>
    <row r="166" spans="1:3" s="42" customFormat="1" ht="12" x14ac:dyDescent="0.3">
      <c r="A166" s="464"/>
      <c r="B166" s="198" t="s">
        <v>88</v>
      </c>
      <c r="C166" s="199">
        <v>572530</v>
      </c>
    </row>
    <row r="167" spans="1:3" s="43" customFormat="1" ht="12" x14ac:dyDescent="0.3">
      <c r="A167" s="478">
        <v>290</v>
      </c>
      <c r="B167" s="208" t="s">
        <v>20</v>
      </c>
      <c r="C167" s="197">
        <v>320000</v>
      </c>
    </row>
    <row r="168" spans="1:3" s="42" customFormat="1" ht="12" x14ac:dyDescent="0.3">
      <c r="A168" s="478"/>
      <c r="B168" s="208" t="s">
        <v>21</v>
      </c>
      <c r="C168" s="197">
        <v>310907</v>
      </c>
    </row>
    <row r="169" spans="1:3" s="42" customFormat="1" ht="12" x14ac:dyDescent="0.3">
      <c r="A169" s="478"/>
      <c r="B169" s="198" t="s">
        <v>87</v>
      </c>
      <c r="C169" s="199">
        <v>630907</v>
      </c>
    </row>
    <row r="170" spans="1:3" s="43" customFormat="1" ht="12" x14ac:dyDescent="0.3">
      <c r="A170" s="478">
        <v>310</v>
      </c>
      <c r="B170" s="208" t="s">
        <v>212</v>
      </c>
      <c r="C170" s="197">
        <v>250000</v>
      </c>
    </row>
    <row r="171" spans="1:3" s="42" customFormat="1" ht="12" x14ac:dyDescent="0.3">
      <c r="A171" s="478"/>
      <c r="B171" s="208" t="s">
        <v>213</v>
      </c>
      <c r="C171" s="197">
        <v>100000</v>
      </c>
    </row>
    <row r="172" spans="1:3" s="42" customFormat="1" ht="12" x14ac:dyDescent="0.3">
      <c r="A172" s="478"/>
      <c r="B172" s="198" t="s">
        <v>241</v>
      </c>
      <c r="C172" s="199">
        <v>350000</v>
      </c>
    </row>
    <row r="173" spans="1:3" s="43" customFormat="1" ht="11.4" x14ac:dyDescent="0.3">
      <c r="A173" s="462">
        <v>340</v>
      </c>
      <c r="B173" s="193" t="s">
        <v>115</v>
      </c>
      <c r="C173" s="194">
        <v>408000</v>
      </c>
    </row>
    <row r="174" spans="1:3" s="42" customFormat="1" ht="12" x14ac:dyDescent="0.3">
      <c r="A174" s="463"/>
      <c r="B174" s="208" t="s">
        <v>75</v>
      </c>
      <c r="C174" s="197">
        <v>120</v>
      </c>
    </row>
    <row r="175" spans="1:3" s="42" customFormat="1" ht="12" x14ac:dyDescent="0.3">
      <c r="A175" s="463"/>
      <c r="B175" s="208" t="s">
        <v>76</v>
      </c>
      <c r="C175" s="197">
        <v>20</v>
      </c>
    </row>
    <row r="176" spans="1:3" s="42" customFormat="1" ht="12" x14ac:dyDescent="0.3">
      <c r="A176" s="463"/>
      <c r="B176" s="208" t="s">
        <v>77</v>
      </c>
      <c r="C176" s="197">
        <v>170</v>
      </c>
    </row>
    <row r="177" spans="1:3" s="42" customFormat="1" ht="12" x14ac:dyDescent="0.3">
      <c r="A177" s="463"/>
      <c r="B177" s="193" t="s">
        <v>78</v>
      </c>
      <c r="C177" s="194"/>
    </row>
    <row r="178" spans="1:3" s="42" customFormat="1" ht="12" x14ac:dyDescent="0.3">
      <c r="A178" s="463"/>
      <c r="B178" s="208" t="s">
        <v>75</v>
      </c>
      <c r="C178" s="197"/>
    </row>
    <row r="179" spans="1:3" s="42" customFormat="1" ht="12" x14ac:dyDescent="0.3">
      <c r="A179" s="463"/>
      <c r="B179" s="208" t="s">
        <v>76</v>
      </c>
      <c r="C179" s="197"/>
    </row>
    <row r="180" spans="1:3" s="42" customFormat="1" ht="12" x14ac:dyDescent="0.3">
      <c r="A180" s="463"/>
      <c r="B180" s="208" t="s">
        <v>77</v>
      </c>
      <c r="C180" s="197"/>
    </row>
    <row r="181" spans="1:3" s="42" customFormat="1" ht="12" x14ac:dyDescent="0.3">
      <c r="A181" s="463"/>
      <c r="B181" s="193" t="s">
        <v>74</v>
      </c>
      <c r="C181" s="194">
        <v>382500</v>
      </c>
    </row>
    <row r="182" spans="1:3" s="42" customFormat="1" ht="12" x14ac:dyDescent="0.3">
      <c r="A182" s="463"/>
      <c r="B182" s="208" t="s">
        <v>75</v>
      </c>
      <c r="C182" s="197">
        <v>90</v>
      </c>
    </row>
    <row r="183" spans="1:3" s="42" customFormat="1" ht="12" x14ac:dyDescent="0.3">
      <c r="A183" s="463"/>
      <c r="B183" s="208" t="s">
        <v>76</v>
      </c>
      <c r="C183" s="197">
        <v>25</v>
      </c>
    </row>
    <row r="184" spans="1:3" s="42" customFormat="1" ht="12" x14ac:dyDescent="0.3">
      <c r="A184" s="463"/>
      <c r="B184" s="208" t="s">
        <v>77</v>
      </c>
      <c r="C184" s="197">
        <v>170</v>
      </c>
    </row>
    <row r="185" spans="1:3" s="157" customFormat="1" ht="12" x14ac:dyDescent="0.3">
      <c r="A185" s="463"/>
      <c r="B185" s="193" t="s">
        <v>71</v>
      </c>
      <c r="C185" s="194">
        <v>103950</v>
      </c>
    </row>
    <row r="186" spans="1:3" s="42" customFormat="1" ht="12" x14ac:dyDescent="0.3">
      <c r="A186" s="463"/>
      <c r="B186" s="206" t="s">
        <v>39</v>
      </c>
      <c r="C186" s="205">
        <v>50006</v>
      </c>
    </row>
    <row r="187" spans="1:3" s="42" customFormat="1" ht="12" x14ac:dyDescent="0.2">
      <c r="A187" s="463"/>
      <c r="B187" s="217" t="s">
        <v>242</v>
      </c>
      <c r="C187" s="222">
        <v>2700</v>
      </c>
    </row>
    <row r="188" spans="1:3" s="42" customFormat="1" ht="12" x14ac:dyDescent="0.3">
      <c r="A188" s="463"/>
      <c r="B188" s="218" t="s">
        <v>243</v>
      </c>
      <c r="C188" s="222">
        <v>8340</v>
      </c>
    </row>
    <row r="189" spans="1:3" s="42" customFormat="1" ht="12" x14ac:dyDescent="0.3">
      <c r="A189" s="463"/>
      <c r="B189" s="218" t="s">
        <v>244</v>
      </c>
      <c r="C189" s="222">
        <v>8321</v>
      </c>
    </row>
    <row r="190" spans="1:3" s="42" customFormat="1" ht="12" x14ac:dyDescent="0.3">
      <c r="A190" s="463"/>
      <c r="B190" s="218" t="s">
        <v>245</v>
      </c>
      <c r="C190" s="222">
        <v>2560</v>
      </c>
    </row>
    <row r="191" spans="1:3" s="43" customFormat="1" ht="11.4" x14ac:dyDescent="0.3">
      <c r="A191" s="463"/>
      <c r="B191" s="218" t="s">
        <v>246</v>
      </c>
      <c r="C191" s="222">
        <v>20000</v>
      </c>
    </row>
    <row r="192" spans="1:3" s="42" customFormat="1" ht="12" x14ac:dyDescent="0.3">
      <c r="A192" s="463"/>
      <c r="B192" s="218" t="s">
        <v>247</v>
      </c>
      <c r="C192" s="222">
        <v>1640</v>
      </c>
    </row>
    <row r="193" spans="1:3" s="42" customFormat="1" ht="12" x14ac:dyDescent="0.3">
      <c r="A193" s="463"/>
      <c r="B193" s="218" t="s">
        <v>248</v>
      </c>
      <c r="C193" s="223">
        <v>360</v>
      </c>
    </row>
    <row r="194" spans="1:3" s="43" customFormat="1" ht="11.4" x14ac:dyDescent="0.3">
      <c r="A194" s="463"/>
      <c r="B194" s="218" t="s">
        <v>249</v>
      </c>
      <c r="C194" s="222">
        <v>500</v>
      </c>
    </row>
    <row r="195" spans="1:3" s="43" customFormat="1" ht="11.4" x14ac:dyDescent="0.3">
      <c r="A195" s="463"/>
      <c r="B195" s="218" t="s">
        <v>214</v>
      </c>
      <c r="C195" s="222">
        <v>1200</v>
      </c>
    </row>
    <row r="196" spans="1:3" s="42" customFormat="1" ht="12" x14ac:dyDescent="0.3">
      <c r="A196" s="463"/>
      <c r="B196" s="218" t="s">
        <v>250</v>
      </c>
      <c r="C196" s="222">
        <v>1200</v>
      </c>
    </row>
    <row r="197" spans="1:3" s="42" customFormat="1" ht="12" x14ac:dyDescent="0.3">
      <c r="A197" s="463"/>
      <c r="B197" s="218" t="s">
        <v>218</v>
      </c>
      <c r="C197" s="222">
        <v>435</v>
      </c>
    </row>
    <row r="198" spans="1:3" s="42" customFormat="1" ht="12" x14ac:dyDescent="0.3">
      <c r="A198" s="463"/>
      <c r="B198" s="218" t="s">
        <v>219</v>
      </c>
      <c r="C198" s="222">
        <v>2750</v>
      </c>
    </row>
    <row r="199" spans="1:3" s="43" customFormat="1" ht="11.4" x14ac:dyDescent="0.3">
      <c r="A199" s="463"/>
      <c r="B199" s="206" t="s">
        <v>137</v>
      </c>
      <c r="C199" s="205">
        <v>3000</v>
      </c>
    </row>
    <row r="200" spans="1:3" s="42" customFormat="1" ht="12" x14ac:dyDescent="0.3">
      <c r="A200" s="463"/>
      <c r="B200" s="206" t="s">
        <v>72</v>
      </c>
      <c r="C200" s="205">
        <v>15000</v>
      </c>
    </row>
    <row r="201" spans="1:3" s="42" customFormat="1" ht="12" x14ac:dyDescent="0.3">
      <c r="A201" s="463"/>
      <c r="B201" s="206" t="s">
        <v>251</v>
      </c>
      <c r="C201" s="205">
        <v>30000</v>
      </c>
    </row>
    <row r="202" spans="1:3" s="42" customFormat="1" ht="12" x14ac:dyDescent="0.3">
      <c r="A202" s="463"/>
      <c r="B202" s="206" t="s">
        <v>252</v>
      </c>
      <c r="C202" s="205">
        <v>80000</v>
      </c>
    </row>
    <row r="203" spans="1:3" s="43" customFormat="1" ht="11.4" x14ac:dyDescent="0.3">
      <c r="A203" s="463"/>
      <c r="B203" s="206" t="s">
        <v>228</v>
      </c>
      <c r="C203" s="205">
        <v>30000</v>
      </c>
    </row>
    <row r="204" spans="1:3" s="42" customFormat="1" ht="12" x14ac:dyDescent="0.3">
      <c r="A204" s="463"/>
      <c r="B204" s="206" t="s">
        <v>253</v>
      </c>
      <c r="C204" s="205">
        <v>20000</v>
      </c>
    </row>
    <row r="205" spans="1:3" s="42" customFormat="1" ht="12" x14ac:dyDescent="0.3">
      <c r="A205" s="463"/>
      <c r="B205" s="206" t="s">
        <v>254</v>
      </c>
      <c r="C205" s="205">
        <v>30000</v>
      </c>
    </row>
    <row r="206" spans="1:3" s="42" customFormat="1" ht="12" x14ac:dyDescent="0.3">
      <c r="A206" s="463"/>
      <c r="B206" s="206" t="s">
        <v>136</v>
      </c>
      <c r="C206" s="205">
        <v>40000</v>
      </c>
    </row>
    <row r="207" spans="1:3" s="43" customFormat="1" ht="11.4" x14ac:dyDescent="0.3">
      <c r="A207" s="463"/>
      <c r="B207" s="193" t="s">
        <v>53</v>
      </c>
      <c r="C207" s="194">
        <v>2000</v>
      </c>
    </row>
    <row r="208" spans="1:3" s="43" customFormat="1" ht="11.4" x14ac:dyDescent="0.3">
      <c r="A208" s="463"/>
      <c r="B208" s="206" t="s">
        <v>73</v>
      </c>
      <c r="C208" s="205"/>
    </row>
    <row r="209" spans="1:4" s="43" customFormat="1" ht="11.4" x14ac:dyDescent="0.3">
      <c r="A209" s="463"/>
      <c r="B209" s="193" t="s">
        <v>38</v>
      </c>
      <c r="C209" s="194">
        <v>700140.00000000012</v>
      </c>
      <c r="D209" s="207"/>
    </row>
    <row r="210" spans="1:4" s="43" customFormat="1" ht="12" x14ac:dyDescent="0.3">
      <c r="A210" s="463"/>
      <c r="B210" s="208" t="s">
        <v>117</v>
      </c>
      <c r="C210" s="197">
        <v>60000</v>
      </c>
      <c r="D210" s="195"/>
    </row>
    <row r="211" spans="1:4" s="43" customFormat="1" ht="12" x14ac:dyDescent="0.3">
      <c r="A211" s="463"/>
      <c r="B211" s="208" t="s">
        <v>118</v>
      </c>
      <c r="C211" s="197">
        <v>33.340000000000003</v>
      </c>
      <c r="D211" s="195"/>
    </row>
    <row r="212" spans="1:4" s="43" customFormat="1" ht="12" x14ac:dyDescent="0.3">
      <c r="A212" s="463"/>
      <c r="B212" s="208" t="s">
        <v>85</v>
      </c>
      <c r="C212" s="197">
        <v>20004.000000000004</v>
      </c>
      <c r="D212" s="195"/>
    </row>
    <row r="213" spans="1:4" s="43" customFormat="1" ht="12" x14ac:dyDescent="0.3">
      <c r="A213" s="463"/>
      <c r="B213" s="208" t="s">
        <v>116</v>
      </c>
      <c r="C213" s="197">
        <v>35</v>
      </c>
      <c r="D213" s="195"/>
    </row>
    <row r="214" spans="1:4" s="43" customFormat="1" ht="11.4" x14ac:dyDescent="0.3">
      <c r="A214" s="463"/>
      <c r="B214" s="193" t="s">
        <v>23</v>
      </c>
      <c r="C214" s="194"/>
      <c r="D214" s="207"/>
    </row>
    <row r="215" spans="1:4" s="43" customFormat="1" ht="12" x14ac:dyDescent="0.3">
      <c r="A215" s="463"/>
      <c r="B215" s="208" t="s">
        <v>67</v>
      </c>
      <c r="C215" s="197"/>
      <c r="D215" s="195"/>
    </row>
    <row r="216" spans="1:4" s="43" customFormat="1" ht="12" x14ac:dyDescent="0.3">
      <c r="A216" s="463"/>
      <c r="B216" s="208" t="s">
        <v>119</v>
      </c>
      <c r="C216" s="197"/>
      <c r="D216" s="195"/>
    </row>
    <row r="217" spans="1:4" s="43" customFormat="1" ht="11.4" x14ac:dyDescent="0.3">
      <c r="A217" s="463"/>
      <c r="B217" s="193" t="s">
        <v>24</v>
      </c>
      <c r="C217" s="210"/>
      <c r="D217" s="207"/>
    </row>
    <row r="218" spans="1:4" s="43" customFormat="1" ht="12" x14ac:dyDescent="0.3">
      <c r="A218" s="463"/>
      <c r="B218" s="208" t="s">
        <v>67</v>
      </c>
      <c r="C218" s="197"/>
      <c r="D218" s="195"/>
    </row>
    <row r="219" spans="1:4" s="43" customFormat="1" ht="12" x14ac:dyDescent="0.3">
      <c r="A219" s="463"/>
      <c r="B219" s="208" t="s">
        <v>120</v>
      </c>
      <c r="C219" s="197"/>
      <c r="D219" s="195"/>
    </row>
    <row r="220" spans="1:4" s="43" customFormat="1" ht="12" x14ac:dyDescent="0.3">
      <c r="A220" s="464"/>
      <c r="B220" s="198" t="s">
        <v>86</v>
      </c>
      <c r="C220" s="199">
        <v>1894596</v>
      </c>
      <c r="D220" s="211"/>
    </row>
    <row r="221" spans="1:4" s="43" customFormat="1" ht="14.4" x14ac:dyDescent="0.3">
      <c r="A221" s="475" t="s">
        <v>121</v>
      </c>
      <c r="B221" s="476"/>
      <c r="C221" s="215">
        <v>9371833.1739999987</v>
      </c>
      <c r="D221" s="212"/>
    </row>
    <row r="222" spans="1:4" s="43" customFormat="1" ht="14.4" x14ac:dyDescent="0.3">
      <c r="A222" s="475" t="s">
        <v>122</v>
      </c>
      <c r="B222" s="476"/>
      <c r="C222" s="215">
        <v>9371833.1739999987</v>
      </c>
      <c r="D222" s="212"/>
    </row>
    <row r="223" spans="1:4" s="43" customFormat="1" ht="14.4" x14ac:dyDescent="0.3">
      <c r="A223" s="475" t="s">
        <v>123</v>
      </c>
      <c r="B223" s="476"/>
      <c r="C223" s="215">
        <v>9371833.1739999987</v>
      </c>
      <c r="D223" s="212"/>
    </row>
    <row r="224" spans="1:4" s="43" customFormat="1" x14ac:dyDescent="0.3">
      <c r="A224" s="187"/>
      <c r="B224" s="214"/>
      <c r="C224" s="213"/>
      <c r="D224" s="212"/>
    </row>
    <row r="225" spans="1:3" s="43" customFormat="1" ht="11.25" hidden="1" customHeight="1" x14ac:dyDescent="0.3">
      <c r="A225" s="187"/>
      <c r="B225" s="212"/>
      <c r="C225" s="213"/>
    </row>
    <row r="226" spans="1:3" s="43" customFormat="1" ht="5.25" hidden="1" customHeight="1" x14ac:dyDescent="0.3">
      <c r="A226" s="187"/>
      <c r="B226" s="214"/>
      <c r="C226" s="213"/>
    </row>
    <row r="227" spans="1:3" s="43" customFormat="1" ht="13.5" customHeight="1" x14ac:dyDescent="0.3">
      <c r="A227" s="187"/>
      <c r="B227" s="220" t="s">
        <v>255</v>
      </c>
      <c r="C227" s="213" t="s">
        <v>256</v>
      </c>
    </row>
    <row r="228" spans="1:3" s="43" customFormat="1" ht="12" customHeight="1" x14ac:dyDescent="0.3">
      <c r="A228" s="187"/>
      <c r="B228" s="221"/>
      <c r="C228" s="213"/>
    </row>
    <row r="229" spans="1:3" s="43" customFormat="1" x14ac:dyDescent="0.3">
      <c r="A229" s="187"/>
      <c r="B229" s="220" t="s">
        <v>138</v>
      </c>
      <c r="C229" s="213" t="s">
        <v>257</v>
      </c>
    </row>
    <row r="230" spans="1:3" s="43" customFormat="1" x14ac:dyDescent="0.3">
      <c r="A230" s="187"/>
      <c r="B230" s="212"/>
      <c r="C230" s="213"/>
    </row>
    <row r="231" spans="1:3" s="43" customFormat="1" x14ac:dyDescent="0.3">
      <c r="A231" s="187"/>
      <c r="B231" s="212"/>
      <c r="C231" s="213"/>
    </row>
    <row r="232" spans="1:3" s="42" customFormat="1" ht="11.25" customHeight="1" x14ac:dyDescent="0.3">
      <c r="A232" s="187"/>
      <c r="B232" s="212"/>
      <c r="C232" s="213"/>
    </row>
    <row r="233" spans="1:3" s="42" customFormat="1" ht="10.5" customHeight="1" x14ac:dyDescent="0.3">
      <c r="A233" s="187"/>
      <c r="B233" s="212"/>
      <c r="C233" s="213"/>
    </row>
    <row r="234" spans="1:3" s="42" customFormat="1" ht="10.5" customHeight="1" x14ac:dyDescent="0.3">
      <c r="A234" s="187"/>
      <c r="B234" s="212"/>
      <c r="C234" s="213"/>
    </row>
    <row r="235" spans="1:3" s="42" customFormat="1" ht="11.25" customHeight="1" x14ac:dyDescent="0.3">
      <c r="A235" s="187"/>
      <c r="B235" s="212"/>
      <c r="C235" s="213"/>
    </row>
    <row r="236" spans="1:3" s="43" customFormat="1" x14ac:dyDescent="0.3">
      <c r="A236" s="187"/>
      <c r="B236" s="212"/>
      <c r="C236" s="213"/>
    </row>
    <row r="237" spans="1:3" s="42" customFormat="1" x14ac:dyDescent="0.3">
      <c r="A237" s="187"/>
      <c r="B237" s="212"/>
      <c r="C237" s="213"/>
    </row>
    <row r="238" spans="1:3" s="42" customFormat="1" x14ac:dyDescent="0.3">
      <c r="A238" s="187"/>
      <c r="B238" s="212"/>
      <c r="C238" s="213"/>
    </row>
    <row r="239" spans="1:3" s="43" customFormat="1" x14ac:dyDescent="0.3">
      <c r="A239" s="187"/>
      <c r="B239" s="212"/>
      <c r="C239" s="213"/>
    </row>
    <row r="240" spans="1:3" s="42" customFormat="1" x14ac:dyDescent="0.3">
      <c r="A240" s="187"/>
      <c r="B240" s="212"/>
      <c r="C240" s="213"/>
    </row>
    <row r="241" spans="1:4" s="42" customFormat="1" x14ac:dyDescent="0.3">
      <c r="A241" s="187"/>
      <c r="B241" s="212"/>
      <c r="C241" s="213"/>
    </row>
    <row r="242" spans="1:4" s="42" customFormat="1" ht="18.75" customHeight="1" x14ac:dyDescent="0.3">
      <c r="A242" s="187"/>
      <c r="B242" s="212"/>
      <c r="C242" s="213"/>
      <c r="D242" s="44"/>
    </row>
    <row r="243" spans="1:4" s="45" customFormat="1" ht="26.25" customHeight="1" x14ac:dyDescent="0.3">
      <c r="A243" s="187"/>
      <c r="B243" s="212"/>
      <c r="C243" s="213"/>
    </row>
    <row r="244" spans="1:4" s="45" customFormat="1" x14ac:dyDescent="0.3">
      <c r="A244" s="187"/>
      <c r="B244" s="212"/>
      <c r="C244" s="213"/>
    </row>
    <row r="245" spans="1:4" s="45" customFormat="1" x14ac:dyDescent="0.3">
      <c r="A245" s="187"/>
      <c r="B245" s="212"/>
      <c r="C245" s="213"/>
    </row>
    <row r="246" spans="1:4" s="45" customFormat="1" x14ac:dyDescent="0.3">
      <c r="A246" s="187"/>
      <c r="B246" s="212"/>
      <c r="C246" s="213"/>
    </row>
    <row r="247" spans="1:4" s="45" customFormat="1" x14ac:dyDescent="0.3">
      <c r="A247" s="187"/>
      <c r="B247" s="212"/>
      <c r="C247" s="213"/>
    </row>
    <row r="248" spans="1:4" s="45" customFormat="1" x14ac:dyDescent="0.3">
      <c r="A248" s="187"/>
      <c r="B248" s="212"/>
      <c r="C248" s="213"/>
    </row>
    <row r="249" spans="1:4" s="45" customFormat="1" x14ac:dyDescent="0.3">
      <c r="A249" s="187"/>
      <c r="B249" s="212"/>
      <c r="C249" s="213"/>
    </row>
    <row r="250" spans="1:4" s="45" customFormat="1" x14ac:dyDescent="0.3">
      <c r="A250" s="187"/>
      <c r="B250" s="212"/>
      <c r="C250" s="213"/>
    </row>
    <row r="251" spans="1:4" s="45" customFormat="1" x14ac:dyDescent="0.3">
      <c r="A251" s="187"/>
      <c r="B251" s="212"/>
      <c r="C251" s="213"/>
    </row>
    <row r="252" spans="1:4" s="45" customFormat="1" x14ac:dyDescent="0.3">
      <c r="A252" s="187"/>
      <c r="B252" s="212"/>
      <c r="C252" s="213"/>
    </row>
    <row r="253" spans="1:4" s="45" customFormat="1" x14ac:dyDescent="0.3">
      <c r="A253" s="187"/>
      <c r="B253" s="212"/>
      <c r="C253" s="213"/>
    </row>
    <row r="254" spans="1:4" s="45" customFormat="1" x14ac:dyDescent="0.3">
      <c r="A254" s="187"/>
      <c r="B254" s="212"/>
      <c r="C254" s="213"/>
    </row>
    <row r="255" spans="1:4" s="45" customFormat="1" x14ac:dyDescent="0.3">
      <c r="A255" s="187"/>
      <c r="B255" s="212"/>
      <c r="C255" s="213"/>
    </row>
    <row r="256" spans="1:4" s="45" customFormat="1" x14ac:dyDescent="0.3">
      <c r="A256" s="187"/>
      <c r="B256" s="212"/>
      <c r="C256" s="213"/>
    </row>
    <row r="257" spans="1:3" s="45" customFormat="1" x14ac:dyDescent="0.3">
      <c r="A257" s="187"/>
      <c r="B257" s="212"/>
      <c r="C257" s="213"/>
    </row>
    <row r="258" spans="1:3" s="45" customFormat="1" x14ac:dyDescent="0.3">
      <c r="A258" s="187"/>
      <c r="B258" s="212"/>
      <c r="C258" s="213"/>
    </row>
    <row r="259" spans="1:3" s="45" customFormat="1" x14ac:dyDescent="0.3">
      <c r="A259" s="187"/>
      <c r="B259" s="212"/>
      <c r="C259" s="213"/>
    </row>
    <row r="260" spans="1:3" s="45" customFormat="1" x14ac:dyDescent="0.3">
      <c r="A260" s="187"/>
      <c r="B260" s="212"/>
      <c r="C260" s="213"/>
    </row>
    <row r="261" spans="1:3" s="45" customFormat="1" x14ac:dyDescent="0.3">
      <c r="A261" s="187"/>
      <c r="B261" s="212"/>
      <c r="C261" s="213"/>
    </row>
    <row r="262" spans="1:3" s="45" customFormat="1" x14ac:dyDescent="0.3">
      <c r="A262" s="187"/>
      <c r="B262" s="212"/>
      <c r="C262" s="213"/>
    </row>
    <row r="263" spans="1:3" s="45" customFormat="1" x14ac:dyDescent="0.3">
      <c r="A263" s="187"/>
      <c r="B263" s="212"/>
      <c r="C263" s="213"/>
    </row>
    <row r="264" spans="1:3" s="45" customFormat="1" x14ac:dyDescent="0.3">
      <c r="A264" s="187"/>
      <c r="B264" s="212"/>
      <c r="C264" s="213"/>
    </row>
    <row r="265" spans="1:3" s="45" customFormat="1" x14ac:dyDescent="0.3">
      <c r="A265" s="187"/>
      <c r="B265" s="212"/>
      <c r="C265" s="213"/>
    </row>
    <row r="266" spans="1:3" s="45" customFormat="1" x14ac:dyDescent="0.3">
      <c r="A266" s="187"/>
      <c r="B266" s="212"/>
      <c r="C266" s="213"/>
    </row>
    <row r="267" spans="1:3" s="45" customFormat="1" x14ac:dyDescent="0.3">
      <c r="A267" s="187"/>
      <c r="B267" s="212"/>
      <c r="C267" s="213"/>
    </row>
    <row r="268" spans="1:3" s="45" customFormat="1" x14ac:dyDescent="0.3">
      <c r="A268" s="187"/>
      <c r="B268" s="212"/>
      <c r="C268" s="213"/>
    </row>
    <row r="269" spans="1:3" s="45" customFormat="1" x14ac:dyDescent="0.3">
      <c r="A269" s="187"/>
      <c r="B269" s="212"/>
      <c r="C269" s="213"/>
    </row>
    <row r="270" spans="1:3" s="45" customFormat="1" x14ac:dyDescent="0.3">
      <c r="A270" s="187"/>
      <c r="B270" s="212"/>
      <c r="C270" s="213"/>
    </row>
    <row r="271" spans="1:3" s="45" customFormat="1" x14ac:dyDescent="0.3">
      <c r="A271" s="187"/>
      <c r="B271" s="212"/>
      <c r="C271" s="213"/>
    </row>
    <row r="272" spans="1:3" s="45" customFormat="1" x14ac:dyDescent="0.3">
      <c r="A272" s="187"/>
      <c r="B272" s="212"/>
      <c r="C272" s="213"/>
    </row>
    <row r="273" spans="1:3" s="45" customFormat="1" x14ac:dyDescent="0.3">
      <c r="A273" s="187"/>
      <c r="B273" s="212"/>
      <c r="C273" s="213"/>
    </row>
    <row r="274" spans="1:3" s="45" customFormat="1" x14ac:dyDescent="0.3">
      <c r="A274" s="187"/>
      <c r="B274" s="212"/>
      <c r="C274" s="213"/>
    </row>
    <row r="275" spans="1:3" s="45" customFormat="1" x14ac:dyDescent="0.3">
      <c r="A275" s="187"/>
      <c r="B275" s="212"/>
      <c r="C275" s="213"/>
    </row>
    <row r="276" spans="1:3" s="45" customFormat="1" x14ac:dyDescent="0.3">
      <c r="A276" s="187"/>
      <c r="B276" s="212"/>
      <c r="C276" s="213"/>
    </row>
    <row r="277" spans="1:3" s="45" customFormat="1" x14ac:dyDescent="0.3">
      <c r="A277" s="187"/>
      <c r="B277" s="212"/>
      <c r="C277" s="213"/>
    </row>
    <row r="278" spans="1:3" s="45" customFormat="1" x14ac:dyDescent="0.3">
      <c r="A278" s="187"/>
      <c r="B278" s="212"/>
      <c r="C278" s="213"/>
    </row>
    <row r="279" spans="1:3" s="45" customFormat="1" x14ac:dyDescent="0.3">
      <c r="A279" s="187"/>
      <c r="B279" s="212"/>
      <c r="C279" s="213"/>
    </row>
    <row r="280" spans="1:3" s="45" customFormat="1" x14ac:dyDescent="0.3">
      <c r="A280" s="187"/>
      <c r="B280" s="212"/>
      <c r="C280" s="213"/>
    </row>
    <row r="281" spans="1:3" s="45" customFormat="1" ht="14.4" x14ac:dyDescent="0.3">
      <c r="A281" s="184"/>
      <c r="B281" s="184"/>
      <c r="C281" s="190"/>
    </row>
    <row r="282" spans="1:3" s="45" customFormat="1" ht="14.4" x14ac:dyDescent="0.3">
      <c r="A282" s="184"/>
      <c r="B282" s="184"/>
      <c r="C282" s="190"/>
    </row>
    <row r="283" spans="1:3" s="45" customFormat="1" ht="14.4" x14ac:dyDescent="0.3">
      <c r="A283" s="184"/>
      <c r="B283" s="184"/>
      <c r="C283" s="190"/>
    </row>
    <row r="284" spans="1:3" s="45" customFormat="1" ht="14.4" x14ac:dyDescent="0.3">
      <c r="A284" s="184"/>
      <c r="B284" s="184"/>
      <c r="C284" s="190"/>
    </row>
    <row r="285" spans="1:3" s="45" customFormat="1" ht="14.4" x14ac:dyDescent="0.3">
      <c r="A285" s="184"/>
      <c r="B285" s="184"/>
      <c r="C285" s="190"/>
    </row>
    <row r="286" spans="1:3" s="45" customFormat="1" ht="14.4" x14ac:dyDescent="0.3">
      <c r="A286" s="184"/>
      <c r="B286" s="184"/>
      <c r="C286" s="190"/>
    </row>
    <row r="287" spans="1:3" s="45" customFormat="1" ht="14.4" x14ac:dyDescent="0.3">
      <c r="A287" s="184"/>
      <c r="B287" s="184"/>
      <c r="C287" s="190"/>
    </row>
    <row r="288" spans="1:3" s="45" customFormat="1" ht="14.4" x14ac:dyDescent="0.3">
      <c r="A288" s="184"/>
      <c r="B288" s="184"/>
      <c r="C288" s="190"/>
    </row>
    <row r="289" spans="1:3" s="45" customFormat="1" x14ac:dyDescent="0.3">
      <c r="A289" s="40"/>
      <c r="C289" s="46"/>
    </row>
    <row r="290" spans="1:3" s="45" customFormat="1" x14ac:dyDescent="0.3">
      <c r="A290" s="40"/>
      <c r="C290" s="46"/>
    </row>
    <row r="291" spans="1:3" s="45" customFormat="1" x14ac:dyDescent="0.3">
      <c r="A291" s="40"/>
      <c r="C291" s="46"/>
    </row>
    <row r="292" spans="1:3" s="45" customFormat="1" x14ac:dyDescent="0.3">
      <c r="A292" s="40"/>
      <c r="C292" s="46"/>
    </row>
    <row r="293" spans="1:3" s="45" customFormat="1" x14ac:dyDescent="0.3">
      <c r="A293" s="40"/>
      <c r="C293" s="46"/>
    </row>
    <row r="294" spans="1:3" s="45" customFormat="1" x14ac:dyDescent="0.3">
      <c r="A294" s="40"/>
      <c r="C294" s="46"/>
    </row>
    <row r="295" spans="1:3" s="45" customFormat="1" x14ac:dyDescent="0.3">
      <c r="A295" s="40"/>
      <c r="C295" s="46"/>
    </row>
    <row r="296" spans="1:3" s="45" customFormat="1" x14ac:dyDescent="0.3">
      <c r="A296" s="40"/>
      <c r="C296" s="46"/>
    </row>
    <row r="297" spans="1:3" s="45" customFormat="1" x14ac:dyDescent="0.3">
      <c r="A297" s="40"/>
      <c r="C297" s="46"/>
    </row>
    <row r="298" spans="1:3" s="45" customFormat="1" x14ac:dyDescent="0.3">
      <c r="A298" s="40"/>
      <c r="C298" s="46"/>
    </row>
    <row r="299" spans="1:3" s="45" customFormat="1" x14ac:dyDescent="0.3">
      <c r="A299" s="40"/>
      <c r="C299" s="46"/>
    </row>
    <row r="300" spans="1:3" s="45" customFormat="1" x14ac:dyDescent="0.3">
      <c r="A300" s="40"/>
      <c r="C300" s="46"/>
    </row>
    <row r="301" spans="1:3" s="45" customFormat="1" x14ac:dyDescent="0.3">
      <c r="A301" s="40"/>
      <c r="C301" s="46"/>
    </row>
    <row r="302" spans="1:3" s="45" customFormat="1" x14ac:dyDescent="0.3">
      <c r="A302" s="40"/>
      <c r="C302" s="46"/>
    </row>
    <row r="303" spans="1:3" x14ac:dyDescent="0.25">
      <c r="C303" s="41"/>
    </row>
    <row r="304" spans="1:3" x14ac:dyDescent="0.25">
      <c r="C304" s="41"/>
    </row>
    <row r="305" spans="3:3" x14ac:dyDescent="0.25">
      <c r="C305" s="41"/>
    </row>
    <row r="306" spans="3:3" x14ac:dyDescent="0.25">
      <c r="C306" s="41"/>
    </row>
    <row r="307" spans="3:3" x14ac:dyDescent="0.25">
      <c r="C307" s="41"/>
    </row>
    <row r="308" spans="3:3" x14ac:dyDescent="0.25">
      <c r="C308" s="41"/>
    </row>
    <row r="309" spans="3:3" x14ac:dyDescent="0.25">
      <c r="C309" s="41"/>
    </row>
    <row r="310" spans="3:3" x14ac:dyDescent="0.25">
      <c r="C310" s="41"/>
    </row>
  </sheetData>
  <mergeCells count="15">
    <mergeCell ref="A223:B223"/>
    <mergeCell ref="A24:A27"/>
    <mergeCell ref="A28:A46"/>
    <mergeCell ref="A47:A103"/>
    <mergeCell ref="A104:A166"/>
    <mergeCell ref="A221:B221"/>
    <mergeCell ref="A167:A169"/>
    <mergeCell ref="B1:D1"/>
    <mergeCell ref="A173:A220"/>
    <mergeCell ref="A3:C3"/>
    <mergeCell ref="A222:B222"/>
    <mergeCell ref="B4:C4"/>
    <mergeCell ref="A6:A12"/>
    <mergeCell ref="A14:A23"/>
    <mergeCell ref="A170:A172"/>
  </mergeCells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19"/>
  <sheetViews>
    <sheetView view="pageBreakPreview" topLeftCell="A87" zoomScale="90" zoomScaleSheetLayoutView="90" workbookViewId="0">
      <selection activeCell="B101" sqref="B101"/>
    </sheetView>
  </sheetViews>
  <sheetFormatPr defaultColWidth="9.109375" defaultRowHeight="13.8" x14ac:dyDescent="0.25"/>
  <cols>
    <col min="1" max="1" width="5" style="5" customWidth="1"/>
    <col min="2" max="2" width="30.109375" style="1" customWidth="1"/>
    <col min="3" max="3" width="41" style="3" customWidth="1"/>
    <col min="4" max="4" width="26" style="1" customWidth="1"/>
    <col min="5" max="5" width="9.109375" style="1"/>
    <col min="6" max="6" width="10.33203125" style="1" bestFit="1" customWidth="1"/>
    <col min="7" max="16384" width="9.109375" style="1"/>
  </cols>
  <sheetData>
    <row r="1" spans="1:4" ht="55.5" customHeight="1" x14ac:dyDescent="0.25">
      <c r="B1" s="470" t="s">
        <v>124</v>
      </c>
      <c r="C1" s="470"/>
      <c r="D1" s="470"/>
    </row>
    <row r="2" spans="1:4" x14ac:dyDescent="0.25">
      <c r="C2" s="4" t="s">
        <v>95</v>
      </c>
    </row>
    <row r="3" spans="1:4" ht="17.25" customHeight="1" x14ac:dyDescent="0.25">
      <c r="A3" s="437" t="s">
        <v>97</v>
      </c>
      <c r="B3" s="437"/>
      <c r="C3" s="437"/>
    </row>
    <row r="4" spans="1:4" ht="17.25" customHeight="1" x14ac:dyDescent="0.25">
      <c r="A4" s="7"/>
      <c r="B4" s="479" t="s">
        <v>356</v>
      </c>
      <c r="C4" s="479"/>
      <c r="D4" s="479"/>
    </row>
    <row r="5" spans="1:4" s="2" customFormat="1" ht="27" customHeight="1" x14ac:dyDescent="0.25">
      <c r="A5" s="177"/>
      <c r="B5" s="6"/>
      <c r="C5" s="177" t="s">
        <v>99</v>
      </c>
      <c r="D5" s="176" t="s">
        <v>357</v>
      </c>
    </row>
    <row r="6" spans="1:4" s="13" customFormat="1" ht="12" x14ac:dyDescent="0.3">
      <c r="A6" s="440">
        <v>211</v>
      </c>
      <c r="B6" s="11" t="s">
        <v>100</v>
      </c>
      <c r="C6" s="12"/>
      <c r="D6" s="149"/>
    </row>
    <row r="7" spans="1:4" s="13" customFormat="1" ht="12" x14ac:dyDescent="0.3">
      <c r="A7" s="440"/>
      <c r="B7" s="14" t="s">
        <v>55</v>
      </c>
      <c r="C7" s="15"/>
      <c r="D7" s="149"/>
    </row>
    <row r="8" spans="1:4" s="13" customFormat="1" ht="12" x14ac:dyDescent="0.3">
      <c r="A8" s="440"/>
      <c r="B8" s="14" t="s">
        <v>56</v>
      </c>
      <c r="C8" s="15"/>
      <c r="D8" s="149"/>
    </row>
    <row r="9" spans="1:4" s="13" customFormat="1" ht="12" x14ac:dyDescent="0.3">
      <c r="A9" s="440"/>
      <c r="B9" s="241" t="s">
        <v>57</v>
      </c>
      <c r="C9" s="242">
        <f>C10*C11</f>
        <v>28674.75</v>
      </c>
      <c r="D9" s="243"/>
    </row>
    <row r="10" spans="1:4" s="13" customFormat="1" ht="12" x14ac:dyDescent="0.3">
      <c r="A10" s="440"/>
      <c r="B10" s="14" t="s">
        <v>55</v>
      </c>
      <c r="C10" s="15">
        <v>3.25</v>
      </c>
      <c r="D10" s="149"/>
    </row>
    <row r="11" spans="1:4" s="13" customFormat="1" ht="12" x14ac:dyDescent="0.3">
      <c r="A11" s="440"/>
      <c r="B11" s="14" t="s">
        <v>56</v>
      </c>
      <c r="C11" s="15">
        <v>8823</v>
      </c>
      <c r="D11" s="149"/>
    </row>
    <row r="12" spans="1:4" s="13" customFormat="1" ht="17.25" customHeight="1" x14ac:dyDescent="0.3">
      <c r="A12" s="440"/>
      <c r="B12" s="16" t="s">
        <v>94</v>
      </c>
      <c r="C12" s="17">
        <f>C9*12</f>
        <v>344097</v>
      </c>
      <c r="D12" s="244"/>
    </row>
    <row r="13" spans="1:4" s="13" customFormat="1" ht="16.5" customHeight="1" x14ac:dyDescent="0.3">
      <c r="A13" s="10">
        <v>213</v>
      </c>
      <c r="B13" s="16" t="s">
        <v>93</v>
      </c>
      <c r="C13" s="17">
        <f>C12*30.2%</f>
        <v>103917.29399999999</v>
      </c>
      <c r="D13" s="244"/>
    </row>
    <row r="14" spans="1:4" s="13" customFormat="1" ht="12" x14ac:dyDescent="0.3">
      <c r="A14" s="440">
        <v>221</v>
      </c>
      <c r="B14" s="18" t="s">
        <v>58</v>
      </c>
      <c r="C14" s="12">
        <f>C15*C16*12</f>
        <v>36000</v>
      </c>
      <c r="D14" s="150"/>
    </row>
    <row r="15" spans="1:4" s="13" customFormat="1" ht="12" x14ac:dyDescent="0.3">
      <c r="A15" s="440"/>
      <c r="B15" s="14" t="s">
        <v>59</v>
      </c>
      <c r="C15" s="15">
        <v>2</v>
      </c>
      <c r="D15" s="149"/>
    </row>
    <row r="16" spans="1:4" s="13" customFormat="1" ht="12" x14ac:dyDescent="0.3">
      <c r="A16" s="440"/>
      <c r="B16" s="14" t="s">
        <v>61</v>
      </c>
      <c r="C16" s="15">
        <v>1500</v>
      </c>
      <c r="D16" s="149"/>
    </row>
    <row r="17" spans="1:4" s="13" customFormat="1" ht="12" x14ac:dyDescent="0.3">
      <c r="A17" s="440"/>
      <c r="B17" s="18" t="s">
        <v>0</v>
      </c>
      <c r="C17" s="12">
        <f>C19*12</f>
        <v>5400</v>
      </c>
      <c r="D17" s="150"/>
    </row>
    <row r="18" spans="1:4" s="13" customFormat="1" ht="12" x14ac:dyDescent="0.3">
      <c r="A18" s="440"/>
      <c r="B18" s="14" t="s">
        <v>79</v>
      </c>
      <c r="C18" s="15">
        <v>1</v>
      </c>
      <c r="D18" s="149"/>
    </row>
    <row r="19" spans="1:4" s="13" customFormat="1" ht="12" x14ac:dyDescent="0.3">
      <c r="A19" s="440"/>
      <c r="B19" s="14" t="s">
        <v>60</v>
      </c>
      <c r="C19" s="15">
        <v>450</v>
      </c>
      <c r="D19" s="149"/>
    </row>
    <row r="20" spans="1:4" s="13" customFormat="1" ht="12" x14ac:dyDescent="0.3">
      <c r="A20" s="440"/>
      <c r="B20" s="18" t="s">
        <v>358</v>
      </c>
      <c r="C20" s="19">
        <v>4500</v>
      </c>
      <c r="D20" s="150"/>
    </row>
    <row r="21" spans="1:4" s="13" customFormat="1" ht="12" x14ac:dyDescent="0.3">
      <c r="A21" s="440"/>
      <c r="B21" s="18" t="s">
        <v>1</v>
      </c>
      <c r="C21" s="12">
        <f>C22*C23</f>
        <v>900</v>
      </c>
      <c r="D21" s="150"/>
    </row>
    <row r="22" spans="1:4" s="13" customFormat="1" ht="12" x14ac:dyDescent="0.3">
      <c r="A22" s="440"/>
      <c r="B22" s="14" t="s">
        <v>80</v>
      </c>
      <c r="C22" s="15">
        <v>30</v>
      </c>
      <c r="D22" s="149"/>
    </row>
    <row r="23" spans="1:4" s="13" customFormat="1" ht="12" x14ac:dyDescent="0.3">
      <c r="A23" s="440"/>
      <c r="B23" s="14" t="s">
        <v>107</v>
      </c>
      <c r="C23" s="15">
        <v>30</v>
      </c>
      <c r="D23" s="149"/>
    </row>
    <row r="24" spans="1:4" s="13" customFormat="1" ht="15" customHeight="1" x14ac:dyDescent="0.3">
      <c r="A24" s="440"/>
      <c r="B24" s="16" t="s">
        <v>359</v>
      </c>
      <c r="C24" s="17">
        <f>C14+C17+C21</f>
        <v>42300</v>
      </c>
      <c r="D24" s="244"/>
    </row>
    <row r="25" spans="1:4" s="13" customFormat="1" ht="12" x14ac:dyDescent="0.3">
      <c r="A25" s="440">
        <v>212</v>
      </c>
      <c r="B25" s="18" t="s">
        <v>62</v>
      </c>
      <c r="C25" s="19">
        <f>C27*C26</f>
        <v>7440</v>
      </c>
      <c r="D25" s="150"/>
    </row>
    <row r="26" spans="1:4" s="13" customFormat="1" ht="12" x14ac:dyDescent="0.3">
      <c r="A26" s="440"/>
      <c r="B26" s="14" t="s">
        <v>81</v>
      </c>
      <c r="C26" s="15">
        <v>30</v>
      </c>
      <c r="D26" s="149"/>
    </row>
    <row r="27" spans="1:4" s="13" customFormat="1" ht="12" x14ac:dyDescent="0.3">
      <c r="A27" s="440"/>
      <c r="B27" s="14" t="s">
        <v>360</v>
      </c>
      <c r="C27" s="15">
        <v>248</v>
      </c>
      <c r="D27" s="149" t="s">
        <v>361</v>
      </c>
    </row>
    <row r="28" spans="1:4" s="13" customFormat="1" ht="20.25" customHeight="1" x14ac:dyDescent="0.3">
      <c r="A28" s="440"/>
      <c r="B28" s="16" t="s">
        <v>362</v>
      </c>
      <c r="C28" s="17">
        <f>C25</f>
        <v>7440</v>
      </c>
      <c r="D28" s="149"/>
    </row>
    <row r="29" spans="1:4" s="13" customFormat="1" ht="12" x14ac:dyDescent="0.3">
      <c r="A29" s="440">
        <v>223</v>
      </c>
      <c r="B29" s="11" t="s">
        <v>2</v>
      </c>
      <c r="C29" s="12">
        <f>C30*C31</f>
        <v>384300</v>
      </c>
      <c r="D29" s="150"/>
    </row>
    <row r="30" spans="1:4" s="13" customFormat="1" ht="12" x14ac:dyDescent="0.3">
      <c r="A30" s="440"/>
      <c r="B30" s="14" t="s">
        <v>82</v>
      </c>
      <c r="C30" s="15">
        <v>61000</v>
      </c>
      <c r="D30" s="149"/>
    </row>
    <row r="31" spans="1:4" s="13" customFormat="1" ht="12" x14ac:dyDescent="0.3">
      <c r="A31" s="440"/>
      <c r="B31" s="14" t="s">
        <v>108</v>
      </c>
      <c r="C31" s="15">
        <v>6.3</v>
      </c>
      <c r="D31" s="149"/>
    </row>
    <row r="32" spans="1:4" s="13" customFormat="1" ht="12" x14ac:dyDescent="0.3">
      <c r="A32" s="440"/>
      <c r="B32" s="11" t="s">
        <v>3</v>
      </c>
      <c r="C32" s="12">
        <f>C33*C34+D33*D34</f>
        <v>2365878.0659999996</v>
      </c>
      <c r="D32" s="150"/>
    </row>
    <row r="33" spans="1:4" s="13" customFormat="1" ht="12" x14ac:dyDescent="0.3">
      <c r="A33" s="440"/>
      <c r="B33" s="14" t="s">
        <v>83</v>
      </c>
      <c r="C33" s="15">
        <v>234.3</v>
      </c>
      <c r="D33" s="149">
        <v>151.1</v>
      </c>
    </row>
    <row r="34" spans="1:4" s="13" customFormat="1" ht="12" x14ac:dyDescent="0.3">
      <c r="A34" s="440"/>
      <c r="B34" s="14" t="s">
        <v>63</v>
      </c>
      <c r="C34" s="15">
        <v>6002.37</v>
      </c>
      <c r="D34" s="149">
        <v>6350.25</v>
      </c>
    </row>
    <row r="35" spans="1:4" s="13" customFormat="1" ht="12" x14ac:dyDescent="0.3">
      <c r="A35" s="440"/>
      <c r="B35" s="11" t="s">
        <v>4</v>
      </c>
      <c r="C35" s="12">
        <f>(C36*C37)+(D37*D36)</f>
        <v>24736.5818</v>
      </c>
      <c r="D35" s="150"/>
    </row>
    <row r="36" spans="1:4" s="13" customFormat="1" ht="12" x14ac:dyDescent="0.3">
      <c r="A36" s="440"/>
      <c r="B36" s="14" t="s">
        <v>84</v>
      </c>
      <c r="C36" s="15">
        <v>282.06</v>
      </c>
      <c r="D36" s="149">
        <v>242.38</v>
      </c>
    </row>
    <row r="37" spans="1:4" s="13" customFormat="1" ht="12" x14ac:dyDescent="0.3">
      <c r="A37" s="440"/>
      <c r="B37" s="14" t="s">
        <v>108</v>
      </c>
      <c r="C37" s="15">
        <v>46.1</v>
      </c>
      <c r="D37" s="149">
        <v>48.41</v>
      </c>
    </row>
    <row r="38" spans="1:4" s="13" customFormat="1" ht="12" x14ac:dyDescent="0.3">
      <c r="A38" s="440"/>
      <c r="B38" s="11" t="s">
        <v>29</v>
      </c>
      <c r="C38" s="12"/>
      <c r="D38" s="150"/>
    </row>
    <row r="39" spans="1:4" s="13" customFormat="1" ht="12" x14ac:dyDescent="0.3">
      <c r="A39" s="440"/>
      <c r="B39" s="14" t="s">
        <v>84</v>
      </c>
      <c r="C39" s="15"/>
      <c r="D39" s="149"/>
    </row>
    <row r="40" spans="1:4" s="13" customFormat="1" ht="12" x14ac:dyDescent="0.3">
      <c r="A40" s="440"/>
      <c r="B40" s="14" t="s">
        <v>108</v>
      </c>
      <c r="C40" s="15"/>
      <c r="D40" s="149"/>
    </row>
    <row r="41" spans="1:4" s="13" customFormat="1" ht="12" x14ac:dyDescent="0.3">
      <c r="A41" s="440"/>
      <c r="B41" s="11" t="s">
        <v>5</v>
      </c>
      <c r="C41" s="12">
        <f>(C42*C43)+(D42*D43)</f>
        <v>21086.618200000001</v>
      </c>
      <c r="D41" s="150"/>
    </row>
    <row r="42" spans="1:4" s="13" customFormat="1" ht="12" x14ac:dyDescent="0.3">
      <c r="A42" s="440"/>
      <c r="B42" s="14" t="s">
        <v>84</v>
      </c>
      <c r="C42" s="15">
        <v>282.06</v>
      </c>
      <c r="D42" s="149">
        <v>242.38</v>
      </c>
    </row>
    <row r="43" spans="1:4" s="13" customFormat="1" ht="12" x14ac:dyDescent="0.3">
      <c r="A43" s="440"/>
      <c r="B43" s="14" t="s">
        <v>108</v>
      </c>
      <c r="C43" s="15">
        <v>39.51</v>
      </c>
      <c r="D43" s="149">
        <v>41.02</v>
      </c>
    </row>
    <row r="44" spans="1:4" s="13" customFormat="1" ht="12" x14ac:dyDescent="0.3">
      <c r="A44" s="440"/>
      <c r="B44" s="11" t="s">
        <v>25</v>
      </c>
      <c r="C44" s="12"/>
      <c r="D44" s="150"/>
    </row>
    <row r="45" spans="1:4" s="13" customFormat="1" ht="12" x14ac:dyDescent="0.3">
      <c r="A45" s="440"/>
      <c r="B45" s="14" t="s">
        <v>67</v>
      </c>
      <c r="C45" s="15"/>
      <c r="D45" s="149"/>
    </row>
    <row r="46" spans="1:4" s="13" customFormat="1" ht="12" x14ac:dyDescent="0.3">
      <c r="A46" s="440"/>
      <c r="B46" s="14" t="s">
        <v>108</v>
      </c>
      <c r="C46" s="15"/>
      <c r="D46" s="149"/>
    </row>
    <row r="47" spans="1:4" s="13" customFormat="1" ht="15.75" customHeight="1" x14ac:dyDescent="0.3">
      <c r="A47" s="440"/>
      <c r="B47" s="16" t="s">
        <v>90</v>
      </c>
      <c r="C47" s="17">
        <f>C29+C32+C35+C41</f>
        <v>2796001.2659999994</v>
      </c>
      <c r="D47" s="244" t="s">
        <v>363</v>
      </c>
    </row>
    <row r="48" spans="1:4" s="13" customFormat="1" ht="12" x14ac:dyDescent="0.3">
      <c r="A48" s="440"/>
      <c r="B48" s="11" t="s">
        <v>6</v>
      </c>
      <c r="C48" s="12">
        <f>C49*C50</f>
        <v>3500</v>
      </c>
      <c r="D48" s="150"/>
    </row>
    <row r="49" spans="1:4" s="13" customFormat="1" ht="12" x14ac:dyDescent="0.3">
      <c r="A49" s="440"/>
      <c r="B49" s="14" t="s">
        <v>364</v>
      </c>
      <c r="C49" s="15">
        <v>10</v>
      </c>
      <c r="D49" s="149"/>
    </row>
    <row r="50" spans="1:4" s="13" customFormat="1" ht="12" x14ac:dyDescent="0.3">
      <c r="A50" s="440"/>
      <c r="B50" s="14" t="s">
        <v>108</v>
      </c>
      <c r="C50" s="15">
        <v>350</v>
      </c>
      <c r="D50" s="149"/>
    </row>
    <row r="51" spans="1:4" s="13" customFormat="1" ht="12" x14ac:dyDescent="0.3">
      <c r="A51" s="440"/>
      <c r="B51" s="11" t="s">
        <v>7</v>
      </c>
      <c r="C51" s="12">
        <f>C52*C53*12</f>
        <v>6083.28</v>
      </c>
      <c r="D51" s="150"/>
    </row>
    <row r="52" spans="1:4" s="13" customFormat="1" ht="12" x14ac:dyDescent="0.3">
      <c r="A52" s="440"/>
      <c r="B52" s="14" t="s">
        <v>70</v>
      </c>
      <c r="C52" s="15">
        <v>994</v>
      </c>
      <c r="D52" s="149"/>
    </row>
    <row r="53" spans="1:4" s="13" customFormat="1" ht="12" x14ac:dyDescent="0.3">
      <c r="A53" s="440"/>
      <c r="B53" s="14" t="s">
        <v>108</v>
      </c>
      <c r="C53" s="15">
        <v>0.51</v>
      </c>
      <c r="D53" s="149"/>
    </row>
    <row r="54" spans="1:4" s="13" customFormat="1" ht="30.75" customHeight="1" x14ac:dyDescent="0.3">
      <c r="A54" s="440"/>
      <c r="B54" s="11" t="s">
        <v>54</v>
      </c>
      <c r="C54" s="12">
        <f>C55*C56</f>
        <v>30000</v>
      </c>
      <c r="D54" s="150"/>
    </row>
    <row r="55" spans="1:4" s="13" customFormat="1" ht="12" x14ac:dyDescent="0.3">
      <c r="A55" s="440"/>
      <c r="B55" s="20" t="s">
        <v>67</v>
      </c>
      <c r="C55" s="21">
        <v>12</v>
      </c>
      <c r="D55" s="149"/>
    </row>
    <row r="56" spans="1:4" s="13" customFormat="1" ht="12" x14ac:dyDescent="0.3">
      <c r="A56" s="440"/>
      <c r="B56" s="14" t="s">
        <v>63</v>
      </c>
      <c r="C56" s="15">
        <v>2500</v>
      </c>
      <c r="D56" s="149"/>
    </row>
    <row r="57" spans="1:4" s="13" customFormat="1" ht="12" x14ac:dyDescent="0.3">
      <c r="A57" s="440"/>
      <c r="B57" s="11" t="s">
        <v>8</v>
      </c>
      <c r="C57" s="12">
        <f>C58*C59</f>
        <v>14400</v>
      </c>
      <c r="D57" s="150"/>
    </row>
    <row r="58" spans="1:4" s="13" customFormat="1" ht="12" x14ac:dyDescent="0.3">
      <c r="A58" s="440"/>
      <c r="B58" s="14" t="s">
        <v>109</v>
      </c>
      <c r="C58" s="15">
        <v>12</v>
      </c>
      <c r="D58" s="149"/>
    </row>
    <row r="59" spans="1:4" s="13" customFormat="1" ht="12" x14ac:dyDescent="0.3">
      <c r="A59" s="440"/>
      <c r="B59" s="14" t="s">
        <v>110</v>
      </c>
      <c r="C59" s="15">
        <v>1200</v>
      </c>
      <c r="D59" s="149"/>
    </row>
    <row r="60" spans="1:4" s="13" customFormat="1" ht="12" x14ac:dyDescent="0.3">
      <c r="A60" s="440"/>
      <c r="B60" s="11" t="s">
        <v>28</v>
      </c>
      <c r="C60" s="12"/>
      <c r="D60" s="150"/>
    </row>
    <row r="61" spans="1:4" s="13" customFormat="1" ht="12" x14ac:dyDescent="0.3">
      <c r="A61" s="440"/>
      <c r="B61" s="14" t="s">
        <v>67</v>
      </c>
      <c r="C61" s="15"/>
      <c r="D61" s="149"/>
    </row>
    <row r="62" spans="1:4" s="13" customFormat="1" ht="12" x14ac:dyDescent="0.3">
      <c r="A62" s="440"/>
      <c r="B62" s="14" t="s">
        <v>111</v>
      </c>
      <c r="C62" s="15"/>
      <c r="D62" s="149"/>
    </row>
    <row r="63" spans="1:4" s="13" customFormat="1" ht="12" x14ac:dyDescent="0.3">
      <c r="A63" s="440"/>
      <c r="B63" s="11" t="s">
        <v>96</v>
      </c>
      <c r="C63" s="12">
        <f>C64*C65</f>
        <v>12000</v>
      </c>
      <c r="D63" s="150"/>
    </row>
    <row r="64" spans="1:4" s="13" customFormat="1" ht="12" x14ac:dyDescent="0.3">
      <c r="A64" s="440"/>
      <c r="B64" s="14" t="s">
        <v>109</v>
      </c>
      <c r="C64" s="15">
        <v>12</v>
      </c>
      <c r="D64" s="149"/>
    </row>
    <row r="65" spans="1:6" s="13" customFormat="1" ht="12" x14ac:dyDescent="0.3">
      <c r="A65" s="440"/>
      <c r="B65" s="14" t="s">
        <v>110</v>
      </c>
      <c r="C65" s="15">
        <v>1000</v>
      </c>
      <c r="D65" s="149"/>
    </row>
    <row r="66" spans="1:6" s="13" customFormat="1" ht="12" x14ac:dyDescent="0.3">
      <c r="A66" s="440"/>
      <c r="B66" s="11" t="s">
        <v>103</v>
      </c>
      <c r="C66" s="12">
        <f>C67*C68</f>
        <v>36000</v>
      </c>
      <c r="D66" s="150"/>
    </row>
    <row r="67" spans="1:6" s="13" customFormat="1" ht="12" x14ac:dyDescent="0.3">
      <c r="A67" s="440"/>
      <c r="B67" s="14" t="s">
        <v>109</v>
      </c>
      <c r="C67" s="15">
        <v>12</v>
      </c>
      <c r="D67" s="149"/>
    </row>
    <row r="68" spans="1:6" s="13" customFormat="1" ht="12" x14ac:dyDescent="0.3">
      <c r="A68" s="440"/>
      <c r="B68" s="14" t="s">
        <v>110</v>
      </c>
      <c r="C68" s="15">
        <v>3000</v>
      </c>
      <c r="D68" s="149"/>
    </row>
    <row r="69" spans="1:6" s="13" customFormat="1" ht="18.75" customHeight="1" x14ac:dyDescent="0.3">
      <c r="A69" s="440"/>
      <c r="B69" s="11" t="s">
        <v>26</v>
      </c>
      <c r="C69" s="12">
        <f>C70*C71</f>
        <v>29280</v>
      </c>
      <c r="D69" s="150"/>
    </row>
    <row r="70" spans="1:6" s="13" customFormat="1" ht="12" x14ac:dyDescent="0.3">
      <c r="A70" s="440"/>
      <c r="B70" s="14" t="s">
        <v>109</v>
      </c>
      <c r="C70" s="15">
        <v>12</v>
      </c>
      <c r="D70" s="149"/>
    </row>
    <row r="71" spans="1:6" s="13" customFormat="1" ht="12" x14ac:dyDescent="0.3">
      <c r="A71" s="440"/>
      <c r="B71" s="14" t="s">
        <v>110</v>
      </c>
      <c r="C71" s="15">
        <v>2440</v>
      </c>
      <c r="D71" s="149"/>
    </row>
    <row r="72" spans="1:6" s="157" customFormat="1" ht="12" x14ac:dyDescent="0.3">
      <c r="A72" s="440"/>
      <c r="B72" s="22" t="s">
        <v>169</v>
      </c>
      <c r="C72" s="257">
        <v>206000</v>
      </c>
      <c r="D72" s="281"/>
      <c r="E72" s="157">
        <v>100000</v>
      </c>
      <c r="F72" s="258">
        <f>E72-C72</f>
        <v>-106000</v>
      </c>
    </row>
    <row r="73" spans="1:6" s="13" customFormat="1" ht="12" x14ac:dyDescent="0.3">
      <c r="A73" s="440"/>
      <c r="B73" s="23" t="s">
        <v>46</v>
      </c>
      <c r="C73" s="24"/>
      <c r="D73" s="245"/>
    </row>
    <row r="74" spans="1:6" s="13" customFormat="1" ht="12" x14ac:dyDescent="0.3">
      <c r="A74" s="440"/>
      <c r="B74" s="11" t="s">
        <v>102</v>
      </c>
      <c r="C74" s="12">
        <f>C77*C75*C76+D75*D76*D77</f>
        <v>114000</v>
      </c>
      <c r="D74" s="150" t="s">
        <v>365</v>
      </c>
    </row>
    <row r="75" spans="1:6" s="13" customFormat="1" ht="12" x14ac:dyDescent="0.3">
      <c r="A75" s="440"/>
      <c r="B75" s="14" t="s">
        <v>67</v>
      </c>
      <c r="C75" s="15">
        <v>6</v>
      </c>
      <c r="D75" s="149">
        <v>3</v>
      </c>
    </row>
    <row r="76" spans="1:6" s="13" customFormat="1" ht="12" x14ac:dyDescent="0.3">
      <c r="A76" s="440"/>
      <c r="B76" s="14" t="s">
        <v>69</v>
      </c>
      <c r="C76" s="15">
        <v>2</v>
      </c>
      <c r="D76" s="149">
        <v>2</v>
      </c>
    </row>
    <row r="77" spans="1:6" s="13" customFormat="1" ht="12" x14ac:dyDescent="0.3">
      <c r="A77" s="440"/>
      <c r="B77" s="14" t="s">
        <v>105</v>
      </c>
      <c r="C77" s="15">
        <v>5500</v>
      </c>
      <c r="D77" s="149">
        <v>8000</v>
      </c>
    </row>
    <row r="78" spans="1:6" s="13" customFormat="1" ht="12" x14ac:dyDescent="0.3">
      <c r="A78" s="440"/>
      <c r="B78" s="11" t="s">
        <v>31</v>
      </c>
      <c r="C78" s="12">
        <f>C79*C80</f>
        <v>3920</v>
      </c>
      <c r="D78" s="150"/>
    </row>
    <row r="79" spans="1:6" s="13" customFormat="1" ht="12" x14ac:dyDescent="0.3">
      <c r="A79" s="440"/>
      <c r="B79" s="14" t="s">
        <v>109</v>
      </c>
      <c r="C79" s="15">
        <v>4</v>
      </c>
      <c r="D79" s="149"/>
    </row>
    <row r="80" spans="1:6" s="13" customFormat="1" ht="12" x14ac:dyDescent="0.3">
      <c r="A80" s="440"/>
      <c r="B80" s="14" t="s">
        <v>110</v>
      </c>
      <c r="C80" s="15">
        <v>980</v>
      </c>
      <c r="D80" s="149"/>
    </row>
    <row r="81" spans="1:4" s="13" customFormat="1" ht="12" x14ac:dyDescent="0.3">
      <c r="A81" s="440"/>
      <c r="B81" s="11" t="s">
        <v>32</v>
      </c>
      <c r="C81" s="12">
        <f>C82*C83</f>
        <v>12000</v>
      </c>
      <c r="D81" s="150"/>
    </row>
    <row r="82" spans="1:4" s="13" customFormat="1" ht="12" x14ac:dyDescent="0.3">
      <c r="A82" s="440"/>
      <c r="B82" s="14" t="s">
        <v>109</v>
      </c>
      <c r="C82" s="15">
        <v>12</v>
      </c>
      <c r="D82" s="149"/>
    </row>
    <row r="83" spans="1:4" s="13" customFormat="1" ht="12" x14ac:dyDescent="0.3">
      <c r="A83" s="440"/>
      <c r="B83" s="14" t="s">
        <v>110</v>
      </c>
      <c r="C83" s="15">
        <v>1000</v>
      </c>
      <c r="D83" s="149"/>
    </row>
    <row r="84" spans="1:4" s="13" customFormat="1" ht="12" x14ac:dyDescent="0.3">
      <c r="A84" s="440"/>
      <c r="B84" s="11" t="s">
        <v>49</v>
      </c>
      <c r="C84" s="12">
        <f>C85*C86*C87</f>
        <v>36000</v>
      </c>
      <c r="D84" s="150"/>
    </row>
    <row r="85" spans="1:4" s="13" customFormat="1" ht="12" x14ac:dyDescent="0.3">
      <c r="A85" s="440"/>
      <c r="B85" s="20" t="s">
        <v>114</v>
      </c>
      <c r="C85" s="21">
        <v>12</v>
      </c>
      <c r="D85" s="149"/>
    </row>
    <row r="86" spans="1:4" s="13" customFormat="1" ht="12" x14ac:dyDescent="0.3">
      <c r="A86" s="440"/>
      <c r="B86" s="20" t="s">
        <v>175</v>
      </c>
      <c r="C86" s="21">
        <v>2</v>
      </c>
      <c r="D86" s="149"/>
    </row>
    <row r="87" spans="1:4" s="13" customFormat="1" ht="12" x14ac:dyDescent="0.3">
      <c r="A87" s="440"/>
      <c r="B87" s="20" t="s">
        <v>63</v>
      </c>
      <c r="C87" s="21">
        <v>1500</v>
      </c>
      <c r="D87" s="149"/>
    </row>
    <row r="88" spans="1:4" s="13" customFormat="1" ht="22.5" customHeight="1" x14ac:dyDescent="0.3">
      <c r="A88" s="440"/>
      <c r="B88" s="11" t="s">
        <v>366</v>
      </c>
      <c r="C88" s="12">
        <v>5000.8900000000003</v>
      </c>
      <c r="D88" s="150"/>
    </row>
    <row r="89" spans="1:4" s="13" customFormat="1" ht="12" x14ac:dyDescent="0.3">
      <c r="A89" s="440"/>
      <c r="B89" s="25" t="s">
        <v>43</v>
      </c>
      <c r="C89" s="24"/>
      <c r="D89" s="245"/>
    </row>
    <row r="90" spans="1:4" s="13" customFormat="1" ht="12" x14ac:dyDescent="0.3">
      <c r="A90" s="440"/>
      <c r="B90" s="11" t="s">
        <v>51</v>
      </c>
      <c r="C90" s="12">
        <f>C91*C92</f>
        <v>20000</v>
      </c>
      <c r="D90" s="150"/>
    </row>
    <row r="91" spans="1:4" s="13" customFormat="1" ht="12" x14ac:dyDescent="0.3">
      <c r="A91" s="440"/>
      <c r="B91" s="14" t="s">
        <v>104</v>
      </c>
      <c r="C91" s="15">
        <v>50</v>
      </c>
      <c r="D91" s="149"/>
    </row>
    <row r="92" spans="1:4" s="13" customFormat="1" ht="12" x14ac:dyDescent="0.3">
      <c r="A92" s="440"/>
      <c r="B92" s="14" t="s">
        <v>105</v>
      </c>
      <c r="C92" s="15">
        <v>400</v>
      </c>
      <c r="D92" s="149"/>
    </row>
    <row r="93" spans="1:4" s="13" customFormat="1" ht="12" x14ac:dyDescent="0.3">
      <c r="A93" s="440"/>
      <c r="B93" s="11" t="s">
        <v>52</v>
      </c>
      <c r="C93" s="12">
        <f>C94*C95</f>
        <v>16800</v>
      </c>
      <c r="D93" s="150"/>
    </row>
    <row r="94" spans="1:4" s="13" customFormat="1" ht="12" x14ac:dyDescent="0.3">
      <c r="A94" s="440"/>
      <c r="B94" s="14" t="s">
        <v>109</v>
      </c>
      <c r="C94" s="15">
        <v>12</v>
      </c>
      <c r="D94" s="149"/>
    </row>
    <row r="95" spans="1:4" s="13" customFormat="1" ht="12" x14ac:dyDescent="0.3">
      <c r="A95" s="440"/>
      <c r="B95" s="14" t="s">
        <v>110</v>
      </c>
      <c r="C95" s="15">
        <v>1400</v>
      </c>
      <c r="D95" s="149"/>
    </row>
    <row r="96" spans="1:4" s="13" customFormat="1" ht="12" x14ac:dyDescent="0.3">
      <c r="A96" s="440"/>
      <c r="B96" s="11" t="s">
        <v>45</v>
      </c>
      <c r="C96" s="12">
        <v>200000</v>
      </c>
      <c r="D96" s="150"/>
    </row>
    <row r="97" spans="1:4" s="13" customFormat="1" ht="12" x14ac:dyDescent="0.3">
      <c r="A97" s="440"/>
      <c r="B97" s="25" t="s">
        <v>9</v>
      </c>
      <c r="C97" s="24">
        <v>34950</v>
      </c>
      <c r="D97" s="245"/>
    </row>
    <row r="98" spans="1:4" s="36" customFormat="1" ht="12" x14ac:dyDescent="0.3">
      <c r="A98" s="440"/>
      <c r="B98" s="11" t="s">
        <v>367</v>
      </c>
      <c r="C98" s="12">
        <v>200000</v>
      </c>
      <c r="D98" s="150"/>
    </row>
    <row r="99" spans="1:4" s="36" customFormat="1" ht="12" x14ac:dyDescent="0.3">
      <c r="A99" s="440"/>
      <c r="B99" s="11" t="s">
        <v>237</v>
      </c>
      <c r="C99" s="12">
        <v>500000</v>
      </c>
      <c r="D99" s="150"/>
    </row>
    <row r="100" spans="1:4" s="36" customFormat="1" ht="22.8" x14ac:dyDescent="0.3">
      <c r="A100" s="440"/>
      <c r="B100" s="28" t="s">
        <v>368</v>
      </c>
      <c r="C100" s="35">
        <v>250000</v>
      </c>
      <c r="D100" s="246"/>
    </row>
    <row r="101" spans="1:4" s="36" customFormat="1" ht="12" x14ac:dyDescent="0.3">
      <c r="A101" s="440"/>
      <c r="B101" s="28" t="s">
        <v>369</v>
      </c>
      <c r="C101" s="35">
        <v>1000000</v>
      </c>
      <c r="D101" s="246"/>
    </row>
    <row r="102" spans="1:4" s="36" customFormat="1" ht="12" x14ac:dyDescent="0.3">
      <c r="A102" s="440"/>
      <c r="B102" s="28"/>
      <c r="C102" s="35"/>
      <c r="D102" s="246"/>
    </row>
    <row r="103" spans="1:4" s="13" customFormat="1" ht="29.25" customHeight="1" x14ac:dyDescent="0.3">
      <c r="A103" s="440"/>
      <c r="B103" s="16" t="s">
        <v>89</v>
      </c>
      <c r="C103" s="17">
        <f>C48+C51+C54+C57+C63+C66+C69+C72+C74+C78+C81+C84+C88+C90+C93+C96+C97+C98+C99+C100+C101+C102</f>
        <v>2729934.17</v>
      </c>
      <c r="D103" s="244"/>
    </row>
    <row r="104" spans="1:4" s="13" customFormat="1" ht="12" x14ac:dyDescent="0.3">
      <c r="A104" s="434">
        <v>226</v>
      </c>
      <c r="B104" s="25" t="s">
        <v>10</v>
      </c>
      <c r="C104" s="24">
        <v>14256</v>
      </c>
      <c r="D104" s="149"/>
    </row>
    <row r="105" spans="1:4" s="13" customFormat="1" ht="12" x14ac:dyDescent="0.3">
      <c r="A105" s="435"/>
      <c r="B105" s="11" t="s">
        <v>11</v>
      </c>
      <c r="C105" s="12">
        <f>C106*C107</f>
        <v>92400</v>
      </c>
      <c r="D105" s="150"/>
    </row>
    <row r="106" spans="1:4" s="13" customFormat="1" ht="12" x14ac:dyDescent="0.3">
      <c r="A106" s="435"/>
      <c r="B106" s="14" t="s">
        <v>68</v>
      </c>
      <c r="C106" s="15">
        <v>28</v>
      </c>
      <c r="D106" s="149"/>
    </row>
    <row r="107" spans="1:4" s="13" customFormat="1" ht="21" customHeight="1" x14ac:dyDescent="0.3">
      <c r="A107" s="435"/>
      <c r="B107" s="14" t="s">
        <v>112</v>
      </c>
      <c r="C107" s="15">
        <v>3300</v>
      </c>
      <c r="D107" s="149"/>
    </row>
    <row r="108" spans="1:4" s="13" customFormat="1" ht="27" customHeight="1" x14ac:dyDescent="0.3">
      <c r="A108" s="435"/>
      <c r="B108" s="11" t="s">
        <v>42</v>
      </c>
      <c r="C108" s="12">
        <f>C109*C110</f>
        <v>14400</v>
      </c>
      <c r="D108" s="150"/>
    </row>
    <row r="109" spans="1:4" s="13" customFormat="1" ht="12" x14ac:dyDescent="0.3">
      <c r="A109" s="435"/>
      <c r="B109" s="14" t="s">
        <v>68</v>
      </c>
      <c r="C109" s="15">
        <v>4</v>
      </c>
      <c r="D109" s="149"/>
    </row>
    <row r="110" spans="1:4" s="13" customFormat="1" ht="12" x14ac:dyDescent="0.3">
      <c r="A110" s="435"/>
      <c r="B110" s="14" t="s">
        <v>112</v>
      </c>
      <c r="C110" s="15">
        <v>3600</v>
      </c>
      <c r="D110" s="149"/>
    </row>
    <row r="111" spans="1:4" s="13" customFormat="1" ht="12" x14ac:dyDescent="0.3">
      <c r="A111" s="435"/>
      <c r="B111" s="11" t="s">
        <v>12</v>
      </c>
      <c r="C111" s="12">
        <f>C112*C113</f>
        <v>39600</v>
      </c>
      <c r="D111" s="150"/>
    </row>
    <row r="112" spans="1:4" s="13" customFormat="1" ht="12" x14ac:dyDescent="0.3">
      <c r="A112" s="435"/>
      <c r="B112" s="14" t="s">
        <v>109</v>
      </c>
      <c r="C112" s="15">
        <v>12</v>
      </c>
      <c r="D112" s="149"/>
    </row>
    <row r="113" spans="1:4" s="13" customFormat="1" ht="12" x14ac:dyDescent="0.3">
      <c r="A113" s="435"/>
      <c r="B113" s="14" t="s">
        <v>110</v>
      </c>
      <c r="C113" s="15">
        <v>3300</v>
      </c>
      <c r="D113" s="149"/>
    </row>
    <row r="114" spans="1:4" s="13" customFormat="1" ht="12" x14ac:dyDescent="0.3">
      <c r="A114" s="435"/>
      <c r="B114" s="11" t="s">
        <v>36</v>
      </c>
      <c r="C114" s="12">
        <f>C115*C116</f>
        <v>30000</v>
      </c>
      <c r="D114" s="150"/>
    </row>
    <row r="115" spans="1:4" s="13" customFormat="1" ht="12" x14ac:dyDescent="0.3">
      <c r="A115" s="435"/>
      <c r="B115" s="14" t="s">
        <v>109</v>
      </c>
      <c r="C115" s="15">
        <v>12</v>
      </c>
      <c r="D115" s="149"/>
    </row>
    <row r="116" spans="1:4" s="13" customFormat="1" ht="12" x14ac:dyDescent="0.3">
      <c r="A116" s="435"/>
      <c r="B116" s="14" t="s">
        <v>110</v>
      </c>
      <c r="C116" s="15">
        <v>2500</v>
      </c>
      <c r="D116" s="149"/>
    </row>
    <row r="117" spans="1:4" s="13" customFormat="1" ht="12" x14ac:dyDescent="0.3">
      <c r="A117" s="435"/>
      <c r="B117" s="11" t="s">
        <v>113</v>
      </c>
      <c r="C117" s="12">
        <f>C118*C119</f>
        <v>6600</v>
      </c>
      <c r="D117" s="150"/>
    </row>
    <row r="118" spans="1:4" s="13" customFormat="1" ht="12" x14ac:dyDescent="0.3">
      <c r="A118" s="435"/>
      <c r="B118" s="14" t="s">
        <v>109</v>
      </c>
      <c r="C118" s="15">
        <v>1</v>
      </c>
      <c r="D118" s="149"/>
    </row>
    <row r="119" spans="1:4" s="13" customFormat="1" ht="12" x14ac:dyDescent="0.3">
      <c r="A119" s="435"/>
      <c r="B119" s="14" t="s">
        <v>110</v>
      </c>
      <c r="C119" s="15">
        <v>6600</v>
      </c>
      <c r="D119" s="149"/>
    </row>
    <row r="120" spans="1:4" s="13" customFormat="1" ht="12" x14ac:dyDescent="0.3">
      <c r="A120" s="435"/>
      <c r="B120" s="11" t="s">
        <v>370</v>
      </c>
      <c r="C120" s="12">
        <f>C121*C122</f>
        <v>23500</v>
      </c>
      <c r="D120" s="150"/>
    </row>
    <row r="121" spans="1:4" s="13" customFormat="1" ht="12" x14ac:dyDescent="0.3">
      <c r="A121" s="435"/>
      <c r="B121" s="14" t="s">
        <v>66</v>
      </c>
      <c r="C121" s="15">
        <v>2</v>
      </c>
      <c r="D121" s="149" t="s">
        <v>371</v>
      </c>
    </row>
    <row r="122" spans="1:4" s="13" customFormat="1" ht="12" x14ac:dyDescent="0.3">
      <c r="A122" s="435"/>
      <c r="B122" s="14" t="s">
        <v>63</v>
      </c>
      <c r="C122" s="15">
        <v>11750</v>
      </c>
      <c r="D122" s="149" t="s">
        <v>372</v>
      </c>
    </row>
    <row r="123" spans="1:4" s="13" customFormat="1" ht="12" x14ac:dyDescent="0.3">
      <c r="A123" s="435"/>
      <c r="B123" s="11" t="s">
        <v>40</v>
      </c>
      <c r="C123" s="12">
        <f>C124*C125</f>
        <v>5968</v>
      </c>
      <c r="D123" s="150"/>
    </row>
    <row r="124" spans="1:4" s="13" customFormat="1" ht="12" x14ac:dyDescent="0.3">
      <c r="A124" s="435"/>
      <c r="B124" s="14" t="s">
        <v>66</v>
      </c>
      <c r="C124" s="15">
        <v>2</v>
      </c>
      <c r="D124" s="149"/>
    </row>
    <row r="125" spans="1:4" s="13" customFormat="1" ht="12" x14ac:dyDescent="0.3">
      <c r="A125" s="435"/>
      <c r="B125" s="14" t="s">
        <v>63</v>
      </c>
      <c r="C125" s="15">
        <v>2984</v>
      </c>
      <c r="D125" s="149"/>
    </row>
    <row r="126" spans="1:4" s="13" customFormat="1" ht="12" x14ac:dyDescent="0.3">
      <c r="A126" s="435"/>
      <c r="B126" s="11" t="s">
        <v>37</v>
      </c>
      <c r="C126" s="12">
        <v>2000</v>
      </c>
      <c r="D126" s="150"/>
    </row>
    <row r="127" spans="1:4" s="13" customFormat="1" ht="12" x14ac:dyDescent="0.3">
      <c r="A127" s="435"/>
      <c r="B127" s="25" t="s">
        <v>44</v>
      </c>
      <c r="C127" s="24">
        <f>C128*C129</f>
        <v>45000</v>
      </c>
      <c r="D127" s="149"/>
    </row>
    <row r="128" spans="1:4" s="13" customFormat="1" ht="12" x14ac:dyDescent="0.3">
      <c r="A128" s="435"/>
      <c r="B128" s="14" t="s">
        <v>66</v>
      </c>
      <c r="C128" s="15">
        <v>100</v>
      </c>
      <c r="D128" s="149"/>
    </row>
    <row r="129" spans="1:5" s="13" customFormat="1" ht="12" x14ac:dyDescent="0.3">
      <c r="A129" s="435"/>
      <c r="B129" s="14" t="s">
        <v>63</v>
      </c>
      <c r="C129" s="15">
        <v>450</v>
      </c>
      <c r="D129" s="149"/>
    </row>
    <row r="130" spans="1:5" s="13" customFormat="1" ht="12" x14ac:dyDescent="0.3">
      <c r="A130" s="435"/>
      <c r="B130" s="25" t="s">
        <v>13</v>
      </c>
      <c r="C130" s="24">
        <v>25000</v>
      </c>
      <c r="D130" s="149"/>
    </row>
    <row r="131" spans="1:5" s="13" customFormat="1" ht="12" x14ac:dyDescent="0.3">
      <c r="A131" s="435"/>
      <c r="B131" s="11" t="s">
        <v>14</v>
      </c>
      <c r="C131" s="12"/>
      <c r="D131" s="150"/>
    </row>
    <row r="132" spans="1:5" s="13" customFormat="1" ht="12" x14ac:dyDescent="0.3">
      <c r="A132" s="435"/>
      <c r="B132" s="25" t="s">
        <v>30</v>
      </c>
      <c r="C132" s="24">
        <v>4500</v>
      </c>
      <c r="D132" s="149"/>
    </row>
    <row r="133" spans="1:5" s="157" customFormat="1" ht="12" x14ac:dyDescent="0.3">
      <c r="A133" s="435"/>
      <c r="B133" s="22" t="s">
        <v>48</v>
      </c>
      <c r="C133" s="257">
        <f>C134*C135</f>
        <v>6460</v>
      </c>
      <c r="D133" s="281"/>
      <c r="E133" s="157" t="s">
        <v>181</v>
      </c>
    </row>
    <row r="134" spans="1:5" s="13" customFormat="1" ht="12" x14ac:dyDescent="0.3">
      <c r="A134" s="435"/>
      <c r="B134" s="14" t="s">
        <v>66</v>
      </c>
      <c r="C134" s="15">
        <v>1700</v>
      </c>
      <c r="D134" s="149"/>
    </row>
    <row r="135" spans="1:5" s="13" customFormat="1" ht="12" x14ac:dyDescent="0.3">
      <c r="A135" s="435"/>
      <c r="B135" s="14" t="s">
        <v>63</v>
      </c>
      <c r="C135" s="15">
        <v>3.8</v>
      </c>
      <c r="D135" s="149"/>
    </row>
    <row r="136" spans="1:5" s="13" customFormat="1" ht="12" x14ac:dyDescent="0.3">
      <c r="A136" s="435"/>
      <c r="B136" s="11" t="s">
        <v>15</v>
      </c>
      <c r="C136" s="12">
        <v>2000</v>
      </c>
      <c r="D136" s="150"/>
    </row>
    <row r="137" spans="1:5" s="13" customFormat="1" ht="12" x14ac:dyDescent="0.3">
      <c r="A137" s="435"/>
      <c r="B137" s="25" t="s">
        <v>16</v>
      </c>
      <c r="C137" s="24">
        <f>C138*C139+9450+6000+3000</f>
        <v>49230</v>
      </c>
      <c r="D137" s="149"/>
    </row>
    <row r="138" spans="1:5" s="13" customFormat="1" ht="12" x14ac:dyDescent="0.3">
      <c r="A138" s="435"/>
      <c r="B138" s="14" t="s">
        <v>66</v>
      </c>
      <c r="C138" s="15">
        <v>6</v>
      </c>
      <c r="D138" s="149" t="s">
        <v>373</v>
      </c>
    </row>
    <row r="139" spans="1:5" s="13" customFormat="1" ht="12" x14ac:dyDescent="0.3">
      <c r="A139" s="435"/>
      <c r="B139" s="14" t="s">
        <v>112</v>
      </c>
      <c r="C139" s="15">
        <v>5130</v>
      </c>
      <c r="D139" s="149" t="s">
        <v>374</v>
      </c>
    </row>
    <row r="140" spans="1:5" s="13" customFormat="1" ht="12" x14ac:dyDescent="0.3">
      <c r="A140" s="435"/>
      <c r="B140" s="11" t="s">
        <v>34</v>
      </c>
      <c r="C140" s="12">
        <f>C142+C144</f>
        <v>39000</v>
      </c>
      <c r="D140" s="150"/>
    </row>
    <row r="141" spans="1:5" s="13" customFormat="1" ht="12" x14ac:dyDescent="0.3">
      <c r="A141" s="435"/>
      <c r="B141" s="14" t="s">
        <v>66</v>
      </c>
      <c r="C141" s="15">
        <v>2</v>
      </c>
      <c r="D141" s="149"/>
    </row>
    <row r="142" spans="1:5" s="13" customFormat="1" ht="12" x14ac:dyDescent="0.3">
      <c r="A142" s="435"/>
      <c r="B142" s="14" t="s">
        <v>63</v>
      </c>
      <c r="C142" s="15">
        <v>10000</v>
      </c>
      <c r="D142" s="149"/>
    </row>
    <row r="143" spans="1:5" s="13" customFormat="1" ht="12" x14ac:dyDescent="0.3">
      <c r="A143" s="435"/>
      <c r="B143" s="14" t="s">
        <v>66</v>
      </c>
      <c r="C143" s="15">
        <v>2</v>
      </c>
      <c r="D143" s="149"/>
    </row>
    <row r="144" spans="1:5" s="13" customFormat="1" ht="12" x14ac:dyDescent="0.3">
      <c r="A144" s="435"/>
      <c r="B144" s="14" t="s">
        <v>63</v>
      </c>
      <c r="C144" s="15">
        <v>29000</v>
      </c>
      <c r="D144" s="149"/>
    </row>
    <row r="145" spans="1:4" s="13" customFormat="1" ht="12" x14ac:dyDescent="0.3">
      <c r="A145" s="435"/>
      <c r="B145" s="11" t="s">
        <v>35</v>
      </c>
      <c r="C145" s="12">
        <f>C146*C147*C148</f>
        <v>60000</v>
      </c>
      <c r="D145" s="150"/>
    </row>
    <row r="146" spans="1:4" s="13" customFormat="1" ht="12" x14ac:dyDescent="0.3">
      <c r="A146" s="435"/>
      <c r="B146" s="14" t="s">
        <v>64</v>
      </c>
      <c r="C146" s="15">
        <v>12</v>
      </c>
      <c r="D146" s="149"/>
    </row>
    <row r="147" spans="1:4" s="13" customFormat="1" ht="12" x14ac:dyDescent="0.3">
      <c r="A147" s="435"/>
      <c r="B147" s="14" t="s">
        <v>68</v>
      </c>
      <c r="C147" s="15">
        <v>2</v>
      </c>
      <c r="D147" s="149"/>
    </row>
    <row r="148" spans="1:4" s="13" customFormat="1" ht="12" x14ac:dyDescent="0.3">
      <c r="A148" s="435"/>
      <c r="B148" s="14" t="s">
        <v>63</v>
      </c>
      <c r="C148" s="15">
        <v>2500</v>
      </c>
      <c r="D148" s="149"/>
    </row>
    <row r="149" spans="1:4" s="13" customFormat="1" ht="27.75" customHeight="1" x14ac:dyDescent="0.3">
      <c r="A149" s="435"/>
      <c r="B149" s="11" t="s">
        <v>50</v>
      </c>
      <c r="C149" s="12">
        <f>C150*C151*C152</f>
        <v>49400</v>
      </c>
      <c r="D149" s="150"/>
    </row>
    <row r="150" spans="1:4" s="13" customFormat="1" ht="12" x14ac:dyDescent="0.3">
      <c r="A150" s="435"/>
      <c r="B150" s="14" t="s">
        <v>64</v>
      </c>
      <c r="C150" s="15">
        <v>247</v>
      </c>
      <c r="D150" s="149"/>
    </row>
    <row r="151" spans="1:4" s="13" customFormat="1" ht="12" x14ac:dyDescent="0.3">
      <c r="A151" s="435"/>
      <c r="B151" s="14" t="s">
        <v>68</v>
      </c>
      <c r="C151" s="15">
        <v>2</v>
      </c>
      <c r="D151" s="149"/>
    </row>
    <row r="152" spans="1:4" s="13" customFormat="1" ht="12" x14ac:dyDescent="0.3">
      <c r="A152" s="435"/>
      <c r="B152" s="14" t="s">
        <v>63</v>
      </c>
      <c r="C152" s="15">
        <v>100</v>
      </c>
      <c r="D152" s="149"/>
    </row>
    <row r="153" spans="1:4" s="26" customFormat="1" ht="26.25" customHeight="1" x14ac:dyDescent="0.3">
      <c r="A153" s="435"/>
      <c r="B153" s="11" t="s">
        <v>47</v>
      </c>
      <c r="C153" s="29">
        <v>5000.8900000000003</v>
      </c>
      <c r="D153" s="152"/>
    </row>
    <row r="154" spans="1:4" s="26" customFormat="1" ht="11.4" x14ac:dyDescent="0.3">
      <c r="A154" s="435"/>
      <c r="B154" s="25" t="s">
        <v>27</v>
      </c>
      <c r="C154" s="24">
        <f>C155*C156</f>
        <v>6052.32</v>
      </c>
      <c r="D154" s="247"/>
    </row>
    <row r="155" spans="1:4" s="13" customFormat="1" ht="12" x14ac:dyDescent="0.3">
      <c r="A155" s="435"/>
      <c r="B155" s="14" t="s">
        <v>114</v>
      </c>
      <c r="C155" s="15">
        <v>12</v>
      </c>
      <c r="D155" s="149"/>
    </row>
    <row r="156" spans="1:4" s="13" customFormat="1" ht="12" x14ac:dyDescent="0.3">
      <c r="A156" s="435"/>
      <c r="B156" s="14" t="s">
        <v>110</v>
      </c>
      <c r="C156" s="15">
        <v>504.36</v>
      </c>
      <c r="D156" s="149"/>
    </row>
    <row r="157" spans="1:4" s="26" customFormat="1" ht="21.75" customHeight="1" x14ac:dyDescent="0.3">
      <c r="A157" s="435"/>
      <c r="B157" s="11" t="s">
        <v>17</v>
      </c>
      <c r="C157" s="12"/>
      <c r="D157" s="152"/>
    </row>
    <row r="158" spans="1:4" s="13" customFormat="1" ht="12" x14ac:dyDescent="0.3">
      <c r="A158" s="435"/>
      <c r="B158" s="14" t="s">
        <v>114</v>
      </c>
      <c r="C158" s="15"/>
      <c r="D158" s="149"/>
    </row>
    <row r="159" spans="1:4" s="13" customFormat="1" ht="18.75" customHeight="1" x14ac:dyDescent="0.3">
      <c r="A159" s="435"/>
      <c r="B159" s="14" t="s">
        <v>110</v>
      </c>
      <c r="C159" s="15"/>
      <c r="D159" s="149"/>
    </row>
    <row r="160" spans="1:4" s="26" customFormat="1" ht="11.4" x14ac:dyDescent="0.3">
      <c r="A160" s="435"/>
      <c r="B160" s="11" t="s">
        <v>18</v>
      </c>
      <c r="C160" s="12">
        <f>C161*C162</f>
        <v>12000</v>
      </c>
      <c r="D160" s="152"/>
    </row>
    <row r="161" spans="1:4" s="13" customFormat="1" ht="12" x14ac:dyDescent="0.3">
      <c r="A161" s="435"/>
      <c r="B161" s="14" t="s">
        <v>66</v>
      </c>
      <c r="C161" s="15">
        <v>12</v>
      </c>
      <c r="D161" s="149"/>
    </row>
    <row r="162" spans="1:4" s="13" customFormat="1" ht="12" x14ac:dyDescent="0.3">
      <c r="A162" s="435"/>
      <c r="B162" s="14" t="s">
        <v>63</v>
      </c>
      <c r="C162" s="15">
        <v>1000</v>
      </c>
      <c r="D162" s="149"/>
    </row>
    <row r="163" spans="1:4" s="26" customFormat="1" ht="11.4" x14ac:dyDescent="0.3">
      <c r="A163" s="435"/>
      <c r="B163" s="11" t="s">
        <v>19</v>
      </c>
      <c r="C163" s="12">
        <f>C164*C165</f>
        <v>12500</v>
      </c>
      <c r="D163" s="152"/>
    </row>
    <row r="164" spans="1:4" s="13" customFormat="1" ht="12" x14ac:dyDescent="0.3">
      <c r="A164" s="435"/>
      <c r="B164" s="14" t="s">
        <v>66</v>
      </c>
      <c r="C164" s="15">
        <v>5</v>
      </c>
      <c r="D164" s="149"/>
    </row>
    <row r="165" spans="1:4" s="13" customFormat="1" ht="12" x14ac:dyDescent="0.3">
      <c r="A165" s="435"/>
      <c r="B165" s="14" t="s">
        <v>63</v>
      </c>
      <c r="C165" s="15">
        <v>2500</v>
      </c>
      <c r="D165" s="149"/>
    </row>
    <row r="166" spans="1:4" s="26" customFormat="1" ht="11.4" x14ac:dyDescent="0.3">
      <c r="A166" s="436"/>
      <c r="B166" s="16" t="s">
        <v>88</v>
      </c>
      <c r="C166" s="17">
        <f>C104+C105+C108+C111+C114+C117+C120+C123+C126+C127+C130+C132+C133+C136+C137+C140+C145+C149+C153+C154+C160+C163</f>
        <v>544867.21</v>
      </c>
      <c r="D166" s="248"/>
    </row>
    <row r="167" spans="1:4" s="13" customFormat="1" ht="12" x14ac:dyDescent="0.3">
      <c r="A167" s="440">
        <v>290</v>
      </c>
      <c r="B167" s="27" t="s">
        <v>20</v>
      </c>
      <c r="C167" s="15">
        <v>520000</v>
      </c>
      <c r="D167" s="149"/>
    </row>
    <row r="168" spans="1:4" s="13" customFormat="1" ht="12" x14ac:dyDescent="0.3">
      <c r="A168" s="440"/>
      <c r="B168" s="27" t="s">
        <v>21</v>
      </c>
      <c r="C168" s="15">
        <v>140333</v>
      </c>
      <c r="D168" s="149"/>
    </row>
    <row r="169" spans="1:4" s="26" customFormat="1" ht="11.4" x14ac:dyDescent="0.3">
      <c r="A169" s="440"/>
      <c r="B169" s="16" t="s">
        <v>87</v>
      </c>
      <c r="C169" s="17">
        <f>C167+C168</f>
        <v>660333</v>
      </c>
      <c r="D169" s="248"/>
    </row>
    <row r="170" spans="1:4" s="26" customFormat="1" ht="11.4" x14ac:dyDescent="0.3">
      <c r="A170" s="434">
        <v>310</v>
      </c>
      <c r="B170" s="28" t="s">
        <v>375</v>
      </c>
      <c r="C170" s="35">
        <v>200000</v>
      </c>
      <c r="D170" s="249"/>
    </row>
    <row r="171" spans="1:4" s="26" customFormat="1" ht="11.4" x14ac:dyDescent="0.3">
      <c r="A171" s="435"/>
      <c r="B171" s="28" t="s">
        <v>376</v>
      </c>
      <c r="C171" s="35">
        <v>6600</v>
      </c>
      <c r="D171" s="249" t="s">
        <v>377</v>
      </c>
    </row>
    <row r="172" spans="1:4" s="26" customFormat="1" ht="11.4" x14ac:dyDescent="0.3">
      <c r="A172" s="435"/>
      <c r="B172" s="28"/>
      <c r="C172" s="35"/>
      <c r="D172" s="249"/>
    </row>
    <row r="173" spans="1:4" s="26" customFormat="1" ht="11.4" x14ac:dyDescent="0.3">
      <c r="A173" s="435"/>
      <c r="B173" s="28"/>
      <c r="C173" s="35"/>
      <c r="D173" s="249"/>
    </row>
    <row r="174" spans="1:4" s="26" customFormat="1" ht="11.4" x14ac:dyDescent="0.3">
      <c r="A174" s="435"/>
      <c r="B174" s="28"/>
      <c r="C174" s="35"/>
      <c r="D174" s="249"/>
    </row>
    <row r="175" spans="1:4" s="26" customFormat="1" ht="11.4" x14ac:dyDescent="0.3">
      <c r="A175" s="436"/>
      <c r="B175" s="16" t="s">
        <v>378</v>
      </c>
      <c r="C175" s="17">
        <f>C170+C171+C172+C173+C174</f>
        <v>206600</v>
      </c>
      <c r="D175" s="248"/>
    </row>
    <row r="176" spans="1:4" s="26" customFormat="1" ht="15" customHeight="1" x14ac:dyDescent="0.3">
      <c r="A176" s="434">
        <v>340</v>
      </c>
      <c r="B176" s="11" t="s">
        <v>115</v>
      </c>
      <c r="C176" s="12">
        <f>C177*C178*C179</f>
        <v>295800</v>
      </c>
      <c r="D176" s="152"/>
    </row>
    <row r="177" spans="1:4" s="13" customFormat="1" ht="12" x14ac:dyDescent="0.3">
      <c r="A177" s="435"/>
      <c r="B177" s="27" t="s">
        <v>75</v>
      </c>
      <c r="C177" s="15">
        <v>87</v>
      </c>
      <c r="D177" s="149"/>
    </row>
    <row r="178" spans="1:4" s="13" customFormat="1" ht="12" x14ac:dyDescent="0.3">
      <c r="A178" s="435"/>
      <c r="B178" s="27" t="s">
        <v>76</v>
      </c>
      <c r="C178" s="15">
        <v>20</v>
      </c>
      <c r="D178" s="149"/>
    </row>
    <row r="179" spans="1:4" s="13" customFormat="1" ht="12" x14ac:dyDescent="0.3">
      <c r="A179" s="435"/>
      <c r="B179" s="27" t="s">
        <v>77</v>
      </c>
      <c r="C179" s="15">
        <v>170</v>
      </c>
      <c r="D179" s="149"/>
    </row>
    <row r="180" spans="1:4" s="26" customFormat="1" ht="11.4" x14ac:dyDescent="0.3">
      <c r="A180" s="435"/>
      <c r="B180" s="11" t="s">
        <v>78</v>
      </c>
      <c r="C180" s="12"/>
      <c r="D180" s="152"/>
    </row>
    <row r="181" spans="1:4" s="13" customFormat="1" ht="12" x14ac:dyDescent="0.3">
      <c r="A181" s="435"/>
      <c r="B181" s="27" t="s">
        <v>75</v>
      </c>
      <c r="C181" s="15"/>
      <c r="D181" s="149"/>
    </row>
    <row r="182" spans="1:4" s="13" customFormat="1" ht="12" x14ac:dyDescent="0.3">
      <c r="A182" s="435"/>
      <c r="B182" s="27" t="s">
        <v>76</v>
      </c>
      <c r="C182" s="15"/>
      <c r="D182" s="149"/>
    </row>
    <row r="183" spans="1:4" s="13" customFormat="1" ht="12" x14ac:dyDescent="0.3">
      <c r="A183" s="435"/>
      <c r="B183" s="27" t="s">
        <v>77</v>
      </c>
      <c r="C183" s="15"/>
      <c r="D183" s="149"/>
    </row>
    <row r="184" spans="1:4" s="26" customFormat="1" ht="11.4" x14ac:dyDescent="0.3">
      <c r="A184" s="435"/>
      <c r="B184" s="11" t="s">
        <v>74</v>
      </c>
      <c r="C184" s="12">
        <f>C185*C186*C187</f>
        <v>207400</v>
      </c>
      <c r="D184" s="152"/>
    </row>
    <row r="185" spans="1:4" s="13" customFormat="1" ht="12" x14ac:dyDescent="0.3">
      <c r="A185" s="435"/>
      <c r="B185" s="27" t="s">
        <v>75</v>
      </c>
      <c r="C185" s="15">
        <v>61</v>
      </c>
      <c r="D185" s="149"/>
    </row>
    <row r="186" spans="1:4" s="13" customFormat="1" ht="12" x14ac:dyDescent="0.3">
      <c r="A186" s="435"/>
      <c r="B186" s="27" t="s">
        <v>76</v>
      </c>
      <c r="C186" s="15">
        <v>20</v>
      </c>
      <c r="D186" s="149"/>
    </row>
    <row r="187" spans="1:4" s="13" customFormat="1" ht="12" x14ac:dyDescent="0.3">
      <c r="A187" s="435"/>
      <c r="B187" s="27" t="s">
        <v>77</v>
      </c>
      <c r="C187" s="15">
        <v>170</v>
      </c>
      <c r="D187" s="149"/>
    </row>
    <row r="188" spans="1:4" s="26" customFormat="1" ht="11.4" x14ac:dyDescent="0.3">
      <c r="A188" s="435"/>
      <c r="B188" s="11" t="s">
        <v>71</v>
      </c>
      <c r="C188" s="12">
        <v>92400</v>
      </c>
      <c r="D188" s="152"/>
    </row>
    <row r="189" spans="1:4" s="26" customFormat="1" ht="11.4" x14ac:dyDescent="0.3">
      <c r="A189" s="435"/>
      <c r="B189" s="11" t="s">
        <v>39</v>
      </c>
      <c r="C189" s="12">
        <v>121373</v>
      </c>
      <c r="D189" s="152"/>
    </row>
    <row r="190" spans="1:4" s="26" customFormat="1" ht="10.5" customHeight="1" x14ac:dyDescent="0.3">
      <c r="A190" s="435"/>
      <c r="B190" s="25" t="s">
        <v>379</v>
      </c>
      <c r="C190" s="24">
        <v>22500</v>
      </c>
      <c r="D190" s="247" t="s">
        <v>380</v>
      </c>
    </row>
    <row r="191" spans="1:4" s="26" customFormat="1" ht="12.75" customHeight="1" x14ac:dyDescent="0.3">
      <c r="A191" s="435"/>
      <c r="B191" s="25" t="s">
        <v>219</v>
      </c>
      <c r="C191" s="24">
        <v>4900</v>
      </c>
      <c r="D191" s="247" t="s">
        <v>381</v>
      </c>
    </row>
    <row r="192" spans="1:4" s="26" customFormat="1" ht="15" customHeight="1" x14ac:dyDescent="0.3">
      <c r="A192" s="435"/>
      <c r="B192" s="25" t="s">
        <v>382</v>
      </c>
      <c r="C192" s="24">
        <v>40800</v>
      </c>
      <c r="D192" s="247" t="s">
        <v>383</v>
      </c>
    </row>
    <row r="193" spans="1:4" s="26" customFormat="1" ht="10.5" customHeight="1" x14ac:dyDescent="0.3">
      <c r="A193" s="435"/>
      <c r="B193" s="25" t="s">
        <v>384</v>
      </c>
      <c r="C193" s="24">
        <v>20600</v>
      </c>
      <c r="D193" s="247" t="s">
        <v>385</v>
      </c>
    </row>
    <row r="194" spans="1:4" s="26" customFormat="1" ht="11.25" customHeight="1" x14ac:dyDescent="0.3">
      <c r="A194" s="435"/>
      <c r="B194" s="25" t="s">
        <v>386</v>
      </c>
      <c r="C194" s="24">
        <v>1500</v>
      </c>
      <c r="D194" s="247" t="s">
        <v>387</v>
      </c>
    </row>
    <row r="195" spans="1:4" s="26" customFormat="1" ht="11.25" customHeight="1" x14ac:dyDescent="0.3">
      <c r="A195" s="435"/>
      <c r="B195" s="25" t="s">
        <v>245</v>
      </c>
      <c r="C195" s="24">
        <v>1350</v>
      </c>
      <c r="D195" s="247">
        <v>1</v>
      </c>
    </row>
    <row r="196" spans="1:4" s="26" customFormat="1" ht="11.25" customHeight="1" x14ac:dyDescent="0.3">
      <c r="A196" s="435"/>
      <c r="B196" s="25" t="s">
        <v>388</v>
      </c>
      <c r="C196" s="24">
        <v>5800</v>
      </c>
      <c r="D196" s="247" t="s">
        <v>389</v>
      </c>
    </row>
    <row r="197" spans="1:4" s="26" customFormat="1" ht="11.25" customHeight="1" x14ac:dyDescent="0.3">
      <c r="A197" s="435"/>
      <c r="B197" s="25" t="s">
        <v>390</v>
      </c>
      <c r="C197" s="24">
        <v>5800</v>
      </c>
      <c r="D197" s="247" t="s">
        <v>391</v>
      </c>
    </row>
    <row r="198" spans="1:4" s="26" customFormat="1" ht="11.25" customHeight="1" x14ac:dyDescent="0.3">
      <c r="A198" s="435"/>
      <c r="B198" s="25" t="s">
        <v>392</v>
      </c>
      <c r="C198" s="24">
        <v>400</v>
      </c>
      <c r="D198" s="247" t="s">
        <v>393</v>
      </c>
    </row>
    <row r="199" spans="1:4" s="26" customFormat="1" ht="11.25" customHeight="1" x14ac:dyDescent="0.3">
      <c r="A199" s="435"/>
      <c r="B199" s="25" t="s">
        <v>394</v>
      </c>
      <c r="C199" s="24">
        <v>1288</v>
      </c>
      <c r="D199" s="247" t="s">
        <v>395</v>
      </c>
    </row>
    <row r="200" spans="1:4" s="26" customFormat="1" ht="11.25" customHeight="1" x14ac:dyDescent="0.3">
      <c r="A200" s="435"/>
      <c r="B200" s="25" t="s">
        <v>396</v>
      </c>
      <c r="C200" s="24">
        <v>2340</v>
      </c>
      <c r="D200" s="247" t="s">
        <v>397</v>
      </c>
    </row>
    <row r="201" spans="1:4" s="26" customFormat="1" ht="11.25" customHeight="1" x14ac:dyDescent="0.3">
      <c r="A201" s="435"/>
      <c r="B201" s="25" t="s">
        <v>398</v>
      </c>
      <c r="C201" s="24">
        <v>1280</v>
      </c>
      <c r="D201" s="247" t="s">
        <v>399</v>
      </c>
    </row>
    <row r="202" spans="1:4" s="26" customFormat="1" ht="11.25" customHeight="1" x14ac:dyDescent="0.3">
      <c r="A202" s="435"/>
      <c r="B202" s="25" t="s">
        <v>218</v>
      </c>
      <c r="C202" s="24">
        <v>70</v>
      </c>
      <c r="D202" s="250" t="s">
        <v>400</v>
      </c>
    </row>
    <row r="203" spans="1:4" s="26" customFormat="1" ht="11.25" customHeight="1" x14ac:dyDescent="0.3">
      <c r="A203" s="435"/>
      <c r="B203" s="25" t="s">
        <v>214</v>
      </c>
      <c r="C203" s="24">
        <v>360</v>
      </c>
      <c r="D203" s="247" t="s">
        <v>401</v>
      </c>
    </row>
    <row r="204" spans="1:4" s="26" customFormat="1" ht="11.25" customHeight="1" x14ac:dyDescent="0.3">
      <c r="A204" s="435"/>
      <c r="B204" s="25" t="s">
        <v>402</v>
      </c>
      <c r="C204" s="24">
        <v>240</v>
      </c>
      <c r="D204" s="247" t="s">
        <v>403</v>
      </c>
    </row>
    <row r="205" spans="1:4" s="26" customFormat="1" ht="11.25" customHeight="1" x14ac:dyDescent="0.3">
      <c r="A205" s="435"/>
      <c r="B205" s="25" t="s">
        <v>404</v>
      </c>
      <c r="C205" s="24">
        <v>11625</v>
      </c>
      <c r="D205" s="247" t="s">
        <v>405</v>
      </c>
    </row>
    <row r="206" spans="1:4" s="26" customFormat="1" ht="9.75" customHeight="1" x14ac:dyDescent="0.3">
      <c r="A206" s="435"/>
      <c r="B206" s="25" t="s">
        <v>406</v>
      </c>
      <c r="C206" s="24">
        <v>520</v>
      </c>
      <c r="D206" s="247" t="s">
        <v>407</v>
      </c>
    </row>
    <row r="207" spans="1:4" s="26" customFormat="1" ht="16.5" customHeight="1" x14ac:dyDescent="0.3">
      <c r="A207" s="435"/>
      <c r="B207" s="11" t="s">
        <v>22</v>
      </c>
      <c r="C207" s="12">
        <f>C208+C209+C210+C211+C212+C213+C214+C215+C216+C217+C218+C219+C220+C221+C222+C223+C224</f>
        <v>20893.199999999997</v>
      </c>
      <c r="D207" s="152"/>
    </row>
    <row r="208" spans="1:4" s="26" customFormat="1" ht="11.25" customHeight="1" x14ac:dyDescent="0.3">
      <c r="A208" s="435"/>
      <c r="B208" s="25" t="s">
        <v>125</v>
      </c>
      <c r="C208" s="24">
        <v>400</v>
      </c>
      <c r="D208" s="247" t="s">
        <v>408</v>
      </c>
    </row>
    <row r="209" spans="1:4" s="26" customFormat="1" ht="9" customHeight="1" x14ac:dyDescent="0.3">
      <c r="A209" s="435"/>
      <c r="B209" s="25" t="s">
        <v>409</v>
      </c>
      <c r="C209" s="24">
        <f>30*34.8</f>
        <v>1044</v>
      </c>
      <c r="D209" s="247" t="s">
        <v>410</v>
      </c>
    </row>
    <row r="210" spans="1:4" s="26" customFormat="1" ht="9.75" customHeight="1" x14ac:dyDescent="0.3">
      <c r="A210" s="435"/>
      <c r="B210" s="25" t="s">
        <v>411</v>
      </c>
      <c r="C210" s="24">
        <f>77*39.2</f>
        <v>3018.4</v>
      </c>
      <c r="D210" s="247" t="s">
        <v>412</v>
      </c>
    </row>
    <row r="211" spans="1:4" s="26" customFormat="1" ht="12" customHeight="1" x14ac:dyDescent="0.3">
      <c r="A211" s="435"/>
      <c r="B211" s="25" t="s">
        <v>413</v>
      </c>
      <c r="C211" s="24">
        <f>35*27</f>
        <v>945</v>
      </c>
      <c r="D211" s="247" t="s">
        <v>414</v>
      </c>
    </row>
    <row r="212" spans="1:4" s="26" customFormat="1" ht="12" customHeight="1" x14ac:dyDescent="0.3">
      <c r="A212" s="435"/>
      <c r="B212" s="25" t="s">
        <v>135</v>
      </c>
      <c r="C212" s="24">
        <f>70*5.7</f>
        <v>399</v>
      </c>
      <c r="D212" s="247" t="s">
        <v>415</v>
      </c>
    </row>
    <row r="213" spans="1:4" s="26" customFormat="1" ht="12" customHeight="1" x14ac:dyDescent="0.3">
      <c r="A213" s="435"/>
      <c r="B213" s="25" t="s">
        <v>416</v>
      </c>
      <c r="C213" s="24">
        <f>50*8.2</f>
        <v>409.99999999999994</v>
      </c>
      <c r="D213" s="247" t="s">
        <v>417</v>
      </c>
    </row>
    <row r="214" spans="1:4" s="26" customFormat="1" ht="12" customHeight="1" x14ac:dyDescent="0.3">
      <c r="A214" s="435"/>
      <c r="B214" s="25" t="s">
        <v>418</v>
      </c>
      <c r="C214" s="24">
        <v>948</v>
      </c>
      <c r="D214" s="247" t="s">
        <v>419</v>
      </c>
    </row>
    <row r="215" spans="1:4" s="26" customFormat="1" ht="12" customHeight="1" x14ac:dyDescent="0.3">
      <c r="A215" s="435"/>
      <c r="B215" s="25" t="s">
        <v>420</v>
      </c>
      <c r="C215" s="24">
        <f>25*45</f>
        <v>1125</v>
      </c>
      <c r="D215" s="247" t="s">
        <v>421</v>
      </c>
    </row>
    <row r="216" spans="1:4" s="26" customFormat="1" ht="12" customHeight="1" x14ac:dyDescent="0.3">
      <c r="A216" s="435"/>
      <c r="B216" s="25" t="s">
        <v>422</v>
      </c>
      <c r="C216" s="24">
        <f>9*50</f>
        <v>450</v>
      </c>
      <c r="D216" s="247" t="s">
        <v>423</v>
      </c>
    </row>
    <row r="217" spans="1:4" s="26" customFormat="1" ht="12" customHeight="1" x14ac:dyDescent="0.3">
      <c r="A217" s="435"/>
      <c r="B217" s="25" t="s">
        <v>424</v>
      </c>
      <c r="C217" s="24">
        <f>2*89.4</f>
        <v>178.8</v>
      </c>
      <c r="D217" s="247" t="s">
        <v>425</v>
      </c>
    </row>
    <row r="218" spans="1:4" s="26" customFormat="1" ht="12" customHeight="1" x14ac:dyDescent="0.3">
      <c r="A218" s="435"/>
      <c r="B218" s="25" t="s">
        <v>426</v>
      </c>
      <c r="C218" s="24">
        <f>50*42.8</f>
        <v>2140</v>
      </c>
      <c r="D218" s="247" t="s">
        <v>427</v>
      </c>
    </row>
    <row r="219" spans="1:4" s="26" customFormat="1" ht="12" customHeight="1" x14ac:dyDescent="0.3">
      <c r="A219" s="435"/>
      <c r="B219" s="25" t="s">
        <v>428</v>
      </c>
      <c r="C219" s="24">
        <f>15*89</f>
        <v>1335</v>
      </c>
      <c r="D219" s="247" t="s">
        <v>429</v>
      </c>
    </row>
    <row r="220" spans="1:4" s="26" customFormat="1" ht="12" customHeight="1" x14ac:dyDescent="0.3">
      <c r="A220" s="435"/>
      <c r="B220" s="25" t="s">
        <v>430</v>
      </c>
      <c r="C220" s="24">
        <f>100*15</f>
        <v>1500</v>
      </c>
      <c r="D220" s="247" t="s">
        <v>431</v>
      </c>
    </row>
    <row r="221" spans="1:4" s="26" customFormat="1" ht="12" customHeight="1" x14ac:dyDescent="0.3">
      <c r="A221" s="435"/>
      <c r="B221" s="25" t="s">
        <v>432</v>
      </c>
      <c r="C221" s="24">
        <f>100*38</f>
        <v>3800</v>
      </c>
      <c r="D221" s="247" t="s">
        <v>433</v>
      </c>
    </row>
    <row r="222" spans="1:4" s="26" customFormat="1" ht="12" customHeight="1" x14ac:dyDescent="0.3">
      <c r="A222" s="435"/>
      <c r="B222" s="25" t="s">
        <v>434</v>
      </c>
      <c r="C222" s="24">
        <f>50*25.8</f>
        <v>1290</v>
      </c>
      <c r="D222" s="247" t="s">
        <v>435</v>
      </c>
    </row>
    <row r="223" spans="1:4" s="26" customFormat="1" ht="12" customHeight="1" x14ac:dyDescent="0.3">
      <c r="A223" s="435"/>
      <c r="B223" s="25" t="s">
        <v>436</v>
      </c>
      <c r="C223" s="24">
        <f>2*850</f>
        <v>1700</v>
      </c>
      <c r="D223" s="247" t="s">
        <v>437</v>
      </c>
    </row>
    <row r="224" spans="1:4" s="26" customFormat="1" ht="10.5" customHeight="1" x14ac:dyDescent="0.3">
      <c r="A224" s="435"/>
      <c r="B224" s="25" t="s">
        <v>438</v>
      </c>
      <c r="C224" s="24">
        <f>60*3.5</f>
        <v>210</v>
      </c>
      <c r="D224" s="247" t="s">
        <v>439</v>
      </c>
    </row>
    <row r="225" spans="1:4" s="26" customFormat="1" ht="11.4" x14ac:dyDescent="0.3">
      <c r="A225" s="435"/>
      <c r="B225" s="11" t="s">
        <v>72</v>
      </c>
      <c r="C225" s="12">
        <f>C226+C227+C228+C229+C230+C231+C232</f>
        <v>10350</v>
      </c>
      <c r="D225" s="152"/>
    </row>
    <row r="226" spans="1:4" s="26" customFormat="1" ht="22.8" x14ac:dyDescent="0.3">
      <c r="A226" s="435"/>
      <c r="B226" s="25" t="s">
        <v>440</v>
      </c>
      <c r="C226" s="24">
        <f>7*450</f>
        <v>3150</v>
      </c>
      <c r="D226" s="251" t="s">
        <v>441</v>
      </c>
    </row>
    <row r="227" spans="1:4" s="26" customFormat="1" ht="11.4" x14ac:dyDescent="0.3">
      <c r="A227" s="435"/>
      <c r="B227" s="25" t="s">
        <v>442</v>
      </c>
      <c r="C227" s="24">
        <f>36*50</f>
        <v>1800</v>
      </c>
      <c r="D227" s="251" t="s">
        <v>443</v>
      </c>
    </row>
    <row r="228" spans="1:4" s="26" customFormat="1" ht="22.8" x14ac:dyDescent="0.3">
      <c r="A228" s="435"/>
      <c r="B228" s="25" t="s">
        <v>444</v>
      </c>
      <c r="C228" s="24">
        <f>6*520</f>
        <v>3120</v>
      </c>
      <c r="D228" s="251" t="s">
        <v>445</v>
      </c>
    </row>
    <row r="229" spans="1:4" s="26" customFormat="1" ht="11.4" x14ac:dyDescent="0.3">
      <c r="A229" s="435"/>
      <c r="B229" s="25" t="s">
        <v>446</v>
      </c>
      <c r="C229" s="24">
        <f>2*200</f>
        <v>400</v>
      </c>
      <c r="D229" s="251" t="s">
        <v>447</v>
      </c>
    </row>
    <row r="230" spans="1:4" s="26" customFormat="1" ht="22.8" x14ac:dyDescent="0.3">
      <c r="A230" s="435"/>
      <c r="B230" s="25" t="s">
        <v>448</v>
      </c>
      <c r="C230" s="24">
        <f>4*120</f>
        <v>480</v>
      </c>
      <c r="D230" s="251" t="s">
        <v>449</v>
      </c>
    </row>
    <row r="231" spans="1:4" s="26" customFormat="1" ht="22.8" x14ac:dyDescent="0.3">
      <c r="A231" s="435"/>
      <c r="B231" s="25" t="s">
        <v>450</v>
      </c>
      <c r="C231" s="24">
        <f>28*50</f>
        <v>1400</v>
      </c>
      <c r="D231" s="251" t="s">
        <v>451</v>
      </c>
    </row>
    <row r="232" spans="1:4" s="26" customFormat="1" ht="11.4" x14ac:dyDescent="0.3">
      <c r="A232" s="435"/>
      <c r="B232" s="25"/>
      <c r="C232" s="24"/>
      <c r="D232" s="251"/>
    </row>
    <row r="233" spans="1:4" s="26" customFormat="1" ht="11.25" customHeight="1" x14ac:dyDescent="0.3">
      <c r="A233" s="435"/>
      <c r="B233" s="11" t="s">
        <v>136</v>
      </c>
      <c r="C233" s="12">
        <v>32625</v>
      </c>
      <c r="D233" s="152"/>
    </row>
    <row r="234" spans="1:4" s="26" customFormat="1" ht="10.5" customHeight="1" x14ac:dyDescent="0.3">
      <c r="A234" s="435"/>
      <c r="B234" s="25" t="s">
        <v>126</v>
      </c>
      <c r="C234" s="24">
        <f>100*220</f>
        <v>22000</v>
      </c>
      <c r="D234" s="247" t="s">
        <v>452</v>
      </c>
    </row>
    <row r="235" spans="1:4" s="26" customFormat="1" ht="10.5" customHeight="1" x14ac:dyDescent="0.3">
      <c r="A235" s="435"/>
      <c r="B235" s="25" t="s">
        <v>453</v>
      </c>
      <c r="C235" s="24">
        <f>25*15</f>
        <v>375</v>
      </c>
      <c r="D235" s="247" t="s">
        <v>454</v>
      </c>
    </row>
    <row r="236" spans="1:4" s="26" customFormat="1" ht="9.75" customHeight="1" x14ac:dyDescent="0.3">
      <c r="A236" s="435"/>
      <c r="B236" s="25" t="s">
        <v>455</v>
      </c>
      <c r="C236" s="24">
        <f>5*1050</f>
        <v>5250</v>
      </c>
      <c r="D236" s="247" t="s">
        <v>456</v>
      </c>
    </row>
    <row r="237" spans="1:4" s="26" customFormat="1" ht="10.5" customHeight="1" x14ac:dyDescent="0.3">
      <c r="A237" s="435"/>
      <c r="B237" s="25" t="s">
        <v>457</v>
      </c>
      <c r="C237" s="24">
        <f>5*1000</f>
        <v>5000</v>
      </c>
      <c r="D237" s="247" t="s">
        <v>458</v>
      </c>
    </row>
    <row r="238" spans="1:4" s="26" customFormat="1" ht="11.4" x14ac:dyDescent="0.3">
      <c r="A238" s="435"/>
      <c r="B238" s="11" t="s">
        <v>53</v>
      </c>
      <c r="C238" s="12">
        <f>2*220</f>
        <v>440</v>
      </c>
      <c r="D238" s="152" t="s">
        <v>459</v>
      </c>
    </row>
    <row r="239" spans="1:4" s="26" customFormat="1" ht="11.4" x14ac:dyDescent="0.3">
      <c r="A239" s="435"/>
      <c r="B239" s="25" t="s">
        <v>73</v>
      </c>
      <c r="C239" s="24"/>
      <c r="D239" s="247"/>
    </row>
    <row r="240" spans="1:4" s="26" customFormat="1" ht="11.4" x14ac:dyDescent="0.3">
      <c r="A240" s="435"/>
      <c r="B240" s="11" t="s">
        <v>38</v>
      </c>
      <c r="C240" s="12">
        <f>C243*C244</f>
        <v>836446.97499999998</v>
      </c>
      <c r="D240" s="152"/>
    </row>
    <row r="241" spans="1:4" s="13" customFormat="1" ht="12" x14ac:dyDescent="0.3">
      <c r="A241" s="435"/>
      <c r="B241" s="27" t="s">
        <v>117</v>
      </c>
      <c r="C241" s="15">
        <v>73220</v>
      </c>
      <c r="D241" s="149"/>
    </row>
    <row r="242" spans="1:4" s="13" customFormat="1" ht="12" x14ac:dyDescent="0.3">
      <c r="A242" s="435"/>
      <c r="B242" s="27" t="s">
        <v>118</v>
      </c>
      <c r="C242" s="15">
        <v>32.5</v>
      </c>
      <c r="D242" s="149"/>
    </row>
    <row r="243" spans="1:4" s="13" customFormat="1" ht="12" x14ac:dyDescent="0.3">
      <c r="A243" s="435"/>
      <c r="B243" s="27" t="s">
        <v>85</v>
      </c>
      <c r="C243" s="15">
        <f>C241*C242%</f>
        <v>23796.5</v>
      </c>
      <c r="D243" s="149"/>
    </row>
    <row r="244" spans="1:4" s="13" customFormat="1" ht="12" x14ac:dyDescent="0.3">
      <c r="A244" s="435"/>
      <c r="B244" s="27" t="s">
        <v>116</v>
      </c>
      <c r="C244" s="15">
        <v>35.15</v>
      </c>
      <c r="D244" s="149"/>
    </row>
    <row r="245" spans="1:4" s="26" customFormat="1" ht="11.4" x14ac:dyDescent="0.3">
      <c r="A245" s="435"/>
      <c r="B245" s="11" t="s">
        <v>23</v>
      </c>
      <c r="C245" s="12"/>
      <c r="D245" s="152"/>
    </row>
    <row r="246" spans="1:4" s="13" customFormat="1" ht="12" x14ac:dyDescent="0.3">
      <c r="A246" s="435"/>
      <c r="B246" s="27" t="s">
        <v>67</v>
      </c>
      <c r="C246" s="15"/>
      <c r="D246" s="149"/>
    </row>
    <row r="247" spans="1:4" s="13" customFormat="1" ht="12" x14ac:dyDescent="0.3">
      <c r="A247" s="435"/>
      <c r="B247" s="27" t="s">
        <v>119</v>
      </c>
      <c r="C247" s="15"/>
      <c r="D247" s="149"/>
    </row>
    <row r="248" spans="1:4" s="26" customFormat="1" ht="11.4" x14ac:dyDescent="0.3">
      <c r="A248" s="435"/>
      <c r="B248" s="11" t="s">
        <v>24</v>
      </c>
      <c r="C248" s="29"/>
      <c r="D248" s="152"/>
    </row>
    <row r="249" spans="1:4" s="13" customFormat="1" ht="12" x14ac:dyDescent="0.3">
      <c r="A249" s="435"/>
      <c r="B249" s="27" t="s">
        <v>67</v>
      </c>
      <c r="C249" s="15"/>
      <c r="D249" s="149"/>
    </row>
    <row r="250" spans="1:4" s="13" customFormat="1" ht="12" x14ac:dyDescent="0.3">
      <c r="A250" s="435"/>
      <c r="B250" s="27" t="s">
        <v>120</v>
      </c>
      <c r="C250" s="15"/>
      <c r="D250" s="149"/>
    </row>
    <row r="251" spans="1:4" s="13" customFormat="1" ht="18.75" customHeight="1" x14ac:dyDescent="0.3">
      <c r="A251" s="436"/>
      <c r="B251" s="16" t="s">
        <v>86</v>
      </c>
      <c r="C251" s="17">
        <f>C176+C184+C188+C189+C207+C225+C233+C238+C240</f>
        <v>1617728.1749999998</v>
      </c>
      <c r="D251" s="104"/>
    </row>
    <row r="252" spans="1:4" s="31" customFormat="1" ht="26.25" customHeight="1" x14ac:dyDescent="0.3">
      <c r="A252" s="438" t="s">
        <v>121</v>
      </c>
      <c r="B252" s="439"/>
      <c r="C252" s="34">
        <f>C12+C13+C24+C28+C47+C103+C166+C169+C251</f>
        <v>8846618.1149999984</v>
      </c>
      <c r="D252" s="252"/>
    </row>
    <row r="253" spans="1:4" s="31" customFormat="1" ht="14.4" x14ac:dyDescent="0.3">
      <c r="A253" s="438" t="s">
        <v>122</v>
      </c>
      <c r="B253" s="439"/>
      <c r="C253" s="34">
        <v>9327906.1699999999</v>
      </c>
      <c r="D253" s="252" t="s">
        <v>460</v>
      </c>
    </row>
    <row r="254" spans="1:4" s="31" customFormat="1" ht="14.4" x14ac:dyDescent="0.3">
      <c r="A254" s="438" t="s">
        <v>123</v>
      </c>
      <c r="B254" s="439"/>
      <c r="C254" s="34">
        <v>7840941.0099999998</v>
      </c>
      <c r="D254" s="252"/>
    </row>
    <row r="255" spans="1:4" s="31" customFormat="1" x14ac:dyDescent="0.3">
      <c r="A255" s="5"/>
      <c r="B255" s="33"/>
      <c r="C255" s="32"/>
    </row>
    <row r="256" spans="1:4" s="31" customFormat="1" x14ac:dyDescent="0.3">
      <c r="A256" s="5"/>
      <c r="C256" s="32"/>
    </row>
    <row r="257" spans="1:4" s="31" customFormat="1" x14ac:dyDescent="0.3">
      <c r="A257" s="5"/>
      <c r="B257" s="33" t="s">
        <v>461</v>
      </c>
      <c r="C257" s="32"/>
      <c r="D257" s="31" t="s">
        <v>462</v>
      </c>
    </row>
    <row r="258" spans="1:4" s="31" customFormat="1" x14ac:dyDescent="0.3">
      <c r="A258" s="5"/>
      <c r="C258" s="32"/>
    </row>
    <row r="259" spans="1:4" s="31" customFormat="1" x14ac:dyDescent="0.3">
      <c r="A259" s="5"/>
      <c r="B259" s="33" t="s">
        <v>130</v>
      </c>
      <c r="C259" s="32"/>
      <c r="D259" s="31" t="s">
        <v>463</v>
      </c>
    </row>
    <row r="260" spans="1:4" s="31" customFormat="1" x14ac:dyDescent="0.3">
      <c r="A260" s="5"/>
      <c r="C260" s="32"/>
    </row>
    <row r="261" spans="1:4" s="31" customFormat="1" x14ac:dyDescent="0.3">
      <c r="A261" s="5"/>
      <c r="C261" s="32"/>
    </row>
    <row r="262" spans="1:4" s="31" customFormat="1" x14ac:dyDescent="0.3">
      <c r="A262" s="5"/>
      <c r="C262" s="32"/>
    </row>
    <row r="263" spans="1:4" s="31" customFormat="1" x14ac:dyDescent="0.3">
      <c r="A263" s="5"/>
      <c r="C263" s="32"/>
    </row>
    <row r="264" spans="1:4" s="31" customFormat="1" x14ac:dyDescent="0.3">
      <c r="A264" s="5"/>
      <c r="C264" s="32"/>
    </row>
    <row r="265" spans="1:4" s="31" customFormat="1" x14ac:dyDescent="0.3">
      <c r="A265" s="5"/>
      <c r="C265" s="32"/>
    </row>
    <row r="266" spans="1:4" s="31" customFormat="1" x14ac:dyDescent="0.3">
      <c r="A266" s="5"/>
      <c r="C266" s="32"/>
    </row>
    <row r="267" spans="1:4" s="31" customFormat="1" x14ac:dyDescent="0.3">
      <c r="A267" s="5"/>
      <c r="C267" s="32"/>
    </row>
    <row r="268" spans="1:4" s="31" customFormat="1" x14ac:dyDescent="0.3">
      <c r="A268" s="5"/>
      <c r="C268" s="32"/>
    </row>
    <row r="269" spans="1:4" s="31" customFormat="1" x14ac:dyDescent="0.3">
      <c r="A269" s="5"/>
      <c r="C269" s="32"/>
    </row>
    <row r="270" spans="1:4" s="31" customFormat="1" x14ac:dyDescent="0.3">
      <c r="A270" s="5"/>
      <c r="C270" s="32"/>
    </row>
    <row r="271" spans="1:4" s="31" customFormat="1" x14ac:dyDescent="0.3">
      <c r="A271" s="5"/>
      <c r="C271" s="32"/>
    </row>
    <row r="272" spans="1:4" s="31" customFormat="1" x14ac:dyDescent="0.3">
      <c r="A272" s="5"/>
      <c r="C272" s="32"/>
    </row>
    <row r="273" spans="1:3" s="31" customFormat="1" x14ac:dyDescent="0.3">
      <c r="A273" s="5"/>
      <c r="C273" s="32"/>
    </row>
    <row r="274" spans="1:3" s="31" customFormat="1" x14ac:dyDescent="0.3">
      <c r="A274" s="5"/>
      <c r="C274" s="32"/>
    </row>
    <row r="275" spans="1:3" s="31" customFormat="1" x14ac:dyDescent="0.3">
      <c r="A275" s="5"/>
      <c r="C275" s="32"/>
    </row>
    <row r="276" spans="1:3" s="31" customFormat="1" x14ac:dyDescent="0.3">
      <c r="A276" s="5"/>
      <c r="C276" s="32"/>
    </row>
    <row r="277" spans="1:3" s="31" customFormat="1" x14ac:dyDescent="0.3">
      <c r="A277" s="5"/>
      <c r="C277" s="32"/>
    </row>
    <row r="278" spans="1:3" s="31" customFormat="1" x14ac:dyDescent="0.3">
      <c r="A278" s="5"/>
      <c r="C278" s="32"/>
    </row>
    <row r="279" spans="1:3" s="31" customFormat="1" x14ac:dyDescent="0.3">
      <c r="A279" s="5"/>
      <c r="C279" s="32"/>
    </row>
    <row r="280" spans="1:3" s="31" customFormat="1" x14ac:dyDescent="0.3">
      <c r="A280" s="5"/>
      <c r="C280" s="32"/>
    </row>
    <row r="281" spans="1:3" s="31" customFormat="1" x14ac:dyDescent="0.3">
      <c r="A281" s="5"/>
      <c r="C281" s="32"/>
    </row>
    <row r="282" spans="1:3" s="31" customFormat="1" x14ac:dyDescent="0.3">
      <c r="A282" s="5"/>
      <c r="C282" s="32"/>
    </row>
    <row r="283" spans="1:3" s="31" customFormat="1" x14ac:dyDescent="0.3">
      <c r="A283" s="5"/>
      <c r="C283" s="32"/>
    </row>
    <row r="284" spans="1:3" s="31" customFormat="1" x14ac:dyDescent="0.3">
      <c r="A284" s="5"/>
      <c r="C284" s="32"/>
    </row>
    <row r="285" spans="1:3" s="31" customFormat="1" x14ac:dyDescent="0.3">
      <c r="A285" s="5"/>
      <c r="C285" s="32"/>
    </row>
    <row r="286" spans="1:3" s="31" customFormat="1" x14ac:dyDescent="0.3">
      <c r="A286" s="5"/>
      <c r="C286" s="32"/>
    </row>
    <row r="287" spans="1:3" s="31" customFormat="1" x14ac:dyDescent="0.3">
      <c r="A287" s="5"/>
      <c r="C287" s="32"/>
    </row>
    <row r="288" spans="1:3" s="31" customFormat="1" x14ac:dyDescent="0.3">
      <c r="A288" s="5"/>
      <c r="C288" s="32"/>
    </row>
    <row r="289" spans="1:3" s="31" customFormat="1" x14ac:dyDescent="0.3">
      <c r="A289" s="5"/>
      <c r="C289" s="32"/>
    </row>
    <row r="290" spans="1:3" s="31" customFormat="1" x14ac:dyDescent="0.3">
      <c r="A290" s="5"/>
      <c r="C290" s="32"/>
    </row>
    <row r="291" spans="1:3" s="31" customFormat="1" x14ac:dyDescent="0.3">
      <c r="A291" s="5"/>
      <c r="C291" s="32"/>
    </row>
    <row r="292" spans="1:3" s="31" customFormat="1" x14ac:dyDescent="0.3">
      <c r="A292" s="5"/>
      <c r="C292" s="32"/>
    </row>
    <row r="293" spans="1:3" s="31" customFormat="1" x14ac:dyDescent="0.3">
      <c r="A293" s="5"/>
      <c r="C293" s="32"/>
    </row>
    <row r="294" spans="1:3" s="31" customFormat="1" x14ac:dyDescent="0.3">
      <c r="A294" s="5"/>
      <c r="C294" s="32"/>
    </row>
    <row r="295" spans="1:3" s="31" customFormat="1" x14ac:dyDescent="0.3">
      <c r="A295" s="5"/>
      <c r="C295" s="32"/>
    </row>
    <row r="296" spans="1:3" s="31" customFormat="1" x14ac:dyDescent="0.3">
      <c r="A296" s="5"/>
      <c r="C296" s="32"/>
    </row>
    <row r="297" spans="1:3" s="31" customFormat="1" x14ac:dyDescent="0.3">
      <c r="A297" s="5"/>
      <c r="C297" s="32"/>
    </row>
    <row r="298" spans="1:3" s="31" customFormat="1" x14ac:dyDescent="0.3">
      <c r="A298" s="5"/>
      <c r="C298" s="32"/>
    </row>
    <row r="299" spans="1:3" s="31" customFormat="1" x14ac:dyDescent="0.3">
      <c r="A299" s="5"/>
      <c r="C299" s="32"/>
    </row>
    <row r="300" spans="1:3" s="31" customFormat="1" x14ac:dyDescent="0.3">
      <c r="A300" s="5"/>
      <c r="C300" s="32"/>
    </row>
    <row r="301" spans="1:3" s="31" customFormat="1" x14ac:dyDescent="0.3">
      <c r="A301" s="5"/>
      <c r="C301" s="32"/>
    </row>
    <row r="302" spans="1:3" s="31" customFormat="1" x14ac:dyDescent="0.3">
      <c r="A302" s="5"/>
      <c r="C302" s="32"/>
    </row>
    <row r="303" spans="1:3" s="31" customFormat="1" x14ac:dyDescent="0.3">
      <c r="A303" s="5"/>
      <c r="C303" s="32"/>
    </row>
    <row r="304" spans="1:3" s="31" customFormat="1" x14ac:dyDescent="0.3">
      <c r="A304" s="5"/>
      <c r="C304" s="32"/>
    </row>
    <row r="305" spans="1:3" s="31" customFormat="1" x14ac:dyDescent="0.3">
      <c r="A305" s="5"/>
      <c r="C305" s="32"/>
    </row>
    <row r="306" spans="1:3" s="31" customFormat="1" x14ac:dyDescent="0.3">
      <c r="A306" s="5"/>
      <c r="C306" s="32"/>
    </row>
    <row r="307" spans="1:3" s="31" customFormat="1" x14ac:dyDescent="0.3">
      <c r="A307" s="5"/>
      <c r="C307" s="32"/>
    </row>
    <row r="308" spans="1:3" s="31" customFormat="1" x14ac:dyDescent="0.3">
      <c r="A308" s="5"/>
      <c r="C308" s="32"/>
    </row>
    <row r="309" spans="1:3" s="31" customFormat="1" x14ac:dyDescent="0.3">
      <c r="A309" s="5"/>
      <c r="C309" s="32"/>
    </row>
    <row r="310" spans="1:3" s="31" customFormat="1" x14ac:dyDescent="0.3">
      <c r="A310" s="5"/>
      <c r="C310" s="32"/>
    </row>
    <row r="311" spans="1:3" s="31" customFormat="1" x14ac:dyDescent="0.3">
      <c r="A311" s="5"/>
      <c r="C311" s="32"/>
    </row>
    <row r="312" spans="1:3" x14ac:dyDescent="0.25">
      <c r="C312" s="8"/>
    </row>
    <row r="313" spans="1:3" x14ac:dyDescent="0.25">
      <c r="C313" s="8"/>
    </row>
    <row r="314" spans="1:3" x14ac:dyDescent="0.25">
      <c r="C314" s="8"/>
    </row>
    <row r="315" spans="1:3" x14ac:dyDescent="0.25">
      <c r="C315" s="8"/>
    </row>
    <row r="316" spans="1:3" x14ac:dyDescent="0.25">
      <c r="C316" s="8"/>
    </row>
    <row r="317" spans="1:3" x14ac:dyDescent="0.25">
      <c r="C317" s="8"/>
    </row>
    <row r="318" spans="1:3" x14ac:dyDescent="0.25">
      <c r="C318" s="8"/>
    </row>
    <row r="319" spans="1:3" x14ac:dyDescent="0.25">
      <c r="C319" s="8"/>
    </row>
  </sheetData>
  <mergeCells count="15">
    <mergeCell ref="A252:B252"/>
    <mergeCell ref="A253:B253"/>
    <mergeCell ref="A254:B254"/>
    <mergeCell ref="B1:D1"/>
    <mergeCell ref="B4:D4"/>
    <mergeCell ref="A14:A24"/>
    <mergeCell ref="A25:A28"/>
    <mergeCell ref="A29:A47"/>
    <mergeCell ref="A48:A103"/>
    <mergeCell ref="A104:A166"/>
    <mergeCell ref="A167:A169"/>
    <mergeCell ref="A170:A175"/>
    <mergeCell ref="A176:A251"/>
    <mergeCell ref="A3:C3"/>
    <mergeCell ref="A6:A1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F285"/>
  <sheetViews>
    <sheetView view="pageBreakPreview" topLeftCell="A187" zoomScale="90" zoomScaleSheetLayoutView="90" workbookViewId="0">
      <selection activeCell="C216" sqref="C216"/>
    </sheetView>
  </sheetViews>
  <sheetFormatPr defaultColWidth="9.109375" defaultRowHeight="13.8" x14ac:dyDescent="0.25"/>
  <cols>
    <col min="1" max="1" width="5" style="5" customWidth="1"/>
    <col min="2" max="2" width="30.109375" style="1" customWidth="1"/>
    <col min="3" max="3" width="41" style="3" customWidth="1"/>
    <col min="4" max="4" width="14.88671875" style="1" customWidth="1"/>
    <col min="5" max="5" width="9.109375" style="1"/>
    <col min="6" max="6" width="9.33203125" style="1" bestFit="1" customWidth="1"/>
    <col min="7" max="16384" width="9.109375" style="1"/>
  </cols>
  <sheetData>
    <row r="1" spans="1:5" ht="55.5" customHeight="1" x14ac:dyDescent="0.25">
      <c r="B1" s="470" t="s">
        <v>124</v>
      </c>
      <c r="C1" s="470"/>
      <c r="D1" s="470"/>
    </row>
    <row r="2" spans="1:5" x14ac:dyDescent="0.25">
      <c r="C2" s="4" t="s">
        <v>95</v>
      </c>
    </row>
    <row r="3" spans="1:5" ht="17.25" customHeight="1" x14ac:dyDescent="0.25">
      <c r="A3" s="437" t="s">
        <v>97</v>
      </c>
      <c r="B3" s="437"/>
      <c r="C3" s="437"/>
    </row>
    <row r="4" spans="1:5" ht="17.25" customHeight="1" x14ac:dyDescent="0.25">
      <c r="A4" s="7"/>
      <c r="B4" s="441" t="s">
        <v>258</v>
      </c>
      <c r="C4" s="441"/>
    </row>
    <row r="5" spans="1:5" s="2" customFormat="1" ht="27" customHeight="1" x14ac:dyDescent="0.25">
      <c r="A5" s="177"/>
      <c r="B5" s="6"/>
      <c r="C5" s="177" t="s">
        <v>99</v>
      </c>
    </row>
    <row r="6" spans="1:5" s="13" customFormat="1" ht="12" x14ac:dyDescent="0.3">
      <c r="A6" s="440">
        <v>211</v>
      </c>
      <c r="B6" s="11" t="s">
        <v>100</v>
      </c>
      <c r="C6" s="12">
        <v>40260</v>
      </c>
    </row>
    <row r="7" spans="1:5" s="13" customFormat="1" ht="12" x14ac:dyDescent="0.3">
      <c r="A7" s="440"/>
      <c r="B7" s="14" t="s">
        <v>55</v>
      </c>
      <c r="C7" s="15">
        <v>3</v>
      </c>
    </row>
    <row r="8" spans="1:5" s="13" customFormat="1" ht="12" x14ac:dyDescent="0.3">
      <c r="A8" s="440"/>
      <c r="B8" s="14" t="s">
        <v>56</v>
      </c>
      <c r="C8" s="15">
        <v>13420</v>
      </c>
    </row>
    <row r="9" spans="1:5" s="13" customFormat="1" ht="12" x14ac:dyDescent="0.3">
      <c r="A9" s="440"/>
      <c r="B9" s="11" t="s">
        <v>57</v>
      </c>
      <c r="C9" s="12">
        <v>121875</v>
      </c>
    </row>
    <row r="10" spans="1:5" s="13" customFormat="1" ht="12" x14ac:dyDescent="0.3">
      <c r="A10" s="440"/>
      <c r="B10" s="14" t="s">
        <v>55</v>
      </c>
      <c r="C10" s="15">
        <v>16.25</v>
      </c>
    </row>
    <row r="11" spans="1:5" s="13" customFormat="1" ht="12" x14ac:dyDescent="0.3">
      <c r="A11" s="440"/>
      <c r="B11" s="14" t="s">
        <v>56</v>
      </c>
      <c r="C11" s="15">
        <v>7500</v>
      </c>
    </row>
    <row r="12" spans="1:5" s="13" customFormat="1" ht="17.25" customHeight="1" x14ac:dyDescent="0.3">
      <c r="A12" s="440"/>
      <c r="B12" s="16" t="s">
        <v>94</v>
      </c>
      <c r="C12" s="17">
        <v>1945620</v>
      </c>
    </row>
    <row r="13" spans="1:5" s="13" customFormat="1" ht="16.5" customHeight="1" x14ac:dyDescent="0.3">
      <c r="A13" s="10">
        <v>213</v>
      </c>
      <c r="B13" s="16" t="s">
        <v>93</v>
      </c>
      <c r="C13" s="17">
        <v>587577</v>
      </c>
    </row>
    <row r="14" spans="1:5" s="157" customFormat="1" ht="12" x14ac:dyDescent="0.3">
      <c r="A14" s="440">
        <v>221</v>
      </c>
      <c r="B14" s="111" t="s">
        <v>58</v>
      </c>
      <c r="C14" s="257">
        <v>11520</v>
      </c>
      <c r="D14" s="157">
        <v>11760</v>
      </c>
      <c r="E14" s="258">
        <f>D14-C14</f>
        <v>240</v>
      </c>
    </row>
    <row r="15" spans="1:5" s="13" customFormat="1" ht="12" x14ac:dyDescent="0.3">
      <c r="A15" s="440"/>
      <c r="B15" s="14" t="s">
        <v>59</v>
      </c>
      <c r="C15" s="15">
        <v>2</v>
      </c>
    </row>
    <row r="16" spans="1:5" s="13" customFormat="1" ht="12" x14ac:dyDescent="0.3">
      <c r="A16" s="440"/>
      <c r="B16" s="14" t="s">
        <v>61</v>
      </c>
      <c r="C16" s="15">
        <v>980</v>
      </c>
    </row>
    <row r="17" spans="1:3" s="13" customFormat="1" ht="12" x14ac:dyDescent="0.3">
      <c r="A17" s="440"/>
      <c r="B17" s="18" t="s">
        <v>0</v>
      </c>
      <c r="C17" s="12">
        <v>6000</v>
      </c>
    </row>
    <row r="18" spans="1:3" s="13" customFormat="1" ht="12" x14ac:dyDescent="0.3">
      <c r="A18" s="440"/>
      <c r="B18" s="14" t="s">
        <v>79</v>
      </c>
      <c r="C18" s="15">
        <v>1</v>
      </c>
    </row>
    <row r="19" spans="1:3" s="13" customFormat="1" ht="12" x14ac:dyDescent="0.3">
      <c r="A19" s="440"/>
      <c r="B19" s="14" t="s">
        <v>60</v>
      </c>
      <c r="C19" s="15">
        <v>500</v>
      </c>
    </row>
    <row r="20" spans="1:3" s="13" customFormat="1" ht="12" x14ac:dyDescent="0.3">
      <c r="A20" s="440"/>
      <c r="B20" s="18" t="s">
        <v>1</v>
      </c>
      <c r="C20" s="12">
        <v>1250</v>
      </c>
    </row>
    <row r="21" spans="1:3" s="13" customFormat="1" ht="12" x14ac:dyDescent="0.3">
      <c r="A21" s="440"/>
      <c r="B21" s="14" t="s">
        <v>80</v>
      </c>
      <c r="C21" s="15">
        <v>50</v>
      </c>
    </row>
    <row r="22" spans="1:3" s="13" customFormat="1" ht="12" x14ac:dyDescent="0.3">
      <c r="A22" s="440"/>
      <c r="B22" s="14" t="s">
        <v>107</v>
      </c>
      <c r="C22" s="15">
        <v>25</v>
      </c>
    </row>
    <row r="23" spans="1:3" s="13" customFormat="1" ht="12" x14ac:dyDescent="0.3">
      <c r="A23" s="440"/>
      <c r="B23" s="16" t="s">
        <v>92</v>
      </c>
      <c r="C23" s="17">
        <v>18770</v>
      </c>
    </row>
    <row r="24" spans="1:3" s="13" customFormat="1" ht="12" x14ac:dyDescent="0.3">
      <c r="A24" s="440">
        <v>222</v>
      </c>
      <c r="B24" s="18" t="s">
        <v>62</v>
      </c>
      <c r="C24" s="19">
        <v>8700</v>
      </c>
    </row>
    <row r="25" spans="1:3" s="157" customFormat="1" ht="12" x14ac:dyDescent="0.3">
      <c r="A25" s="440"/>
      <c r="B25" s="259" t="s">
        <v>81</v>
      </c>
      <c r="C25" s="260">
        <v>30</v>
      </c>
    </row>
    <row r="26" spans="1:3" s="157" customFormat="1" ht="12" x14ac:dyDescent="0.3">
      <c r="A26" s="440"/>
      <c r="B26" s="259" t="s">
        <v>106</v>
      </c>
      <c r="C26" s="260">
        <v>160</v>
      </c>
    </row>
    <row r="27" spans="1:3" s="13" customFormat="1" ht="12" x14ac:dyDescent="0.3">
      <c r="A27" s="440"/>
      <c r="B27" s="16" t="s">
        <v>91</v>
      </c>
      <c r="C27" s="17">
        <v>8700</v>
      </c>
    </row>
    <row r="28" spans="1:3" s="13" customFormat="1" ht="12" x14ac:dyDescent="0.3">
      <c r="A28" s="440">
        <v>223</v>
      </c>
      <c r="B28" s="11" t="s">
        <v>2</v>
      </c>
      <c r="C28" s="12">
        <v>493200</v>
      </c>
    </row>
    <row r="29" spans="1:3" s="13" customFormat="1" ht="12" x14ac:dyDescent="0.3">
      <c r="A29" s="440"/>
      <c r="B29" s="14" t="s">
        <v>82</v>
      </c>
      <c r="C29" s="15">
        <v>68500</v>
      </c>
    </row>
    <row r="30" spans="1:3" s="13" customFormat="1" ht="12" x14ac:dyDescent="0.3">
      <c r="A30" s="440"/>
      <c r="B30" s="14" t="s">
        <v>108</v>
      </c>
      <c r="C30" s="15">
        <v>7.2</v>
      </c>
    </row>
    <row r="31" spans="1:3" s="13" customFormat="1" ht="12" x14ac:dyDescent="0.3">
      <c r="A31" s="440"/>
      <c r="B31" s="11" t="s">
        <v>3</v>
      </c>
      <c r="C31" s="12"/>
    </row>
    <row r="32" spans="1:3" s="13" customFormat="1" ht="12" x14ac:dyDescent="0.3">
      <c r="A32" s="440"/>
      <c r="B32" s="14" t="s">
        <v>83</v>
      </c>
      <c r="C32" s="15"/>
    </row>
    <row r="33" spans="1:4" s="13" customFormat="1" ht="12" x14ac:dyDescent="0.3">
      <c r="A33" s="440"/>
      <c r="B33" s="14" t="s">
        <v>63</v>
      </c>
      <c r="C33" s="15"/>
    </row>
    <row r="34" spans="1:4" s="157" customFormat="1" ht="12" x14ac:dyDescent="0.3">
      <c r="A34" s="440"/>
      <c r="B34" s="22" t="s">
        <v>4</v>
      </c>
      <c r="C34" s="257">
        <v>31500</v>
      </c>
      <c r="D34" s="157">
        <v>34500</v>
      </c>
    </row>
    <row r="35" spans="1:4" s="13" customFormat="1" ht="12" x14ac:dyDescent="0.3">
      <c r="A35" s="440"/>
      <c r="B35" s="14" t="s">
        <v>84</v>
      </c>
      <c r="C35" s="15">
        <v>460</v>
      </c>
    </row>
    <row r="36" spans="1:4" s="13" customFormat="1" ht="12" x14ac:dyDescent="0.3">
      <c r="A36" s="440"/>
      <c r="B36" s="14" t="s">
        <v>108</v>
      </c>
      <c r="C36" s="15">
        <v>75</v>
      </c>
    </row>
    <row r="37" spans="1:4" s="13" customFormat="1" ht="12" x14ac:dyDescent="0.3">
      <c r="A37" s="440"/>
      <c r="B37" s="11" t="s">
        <v>29</v>
      </c>
      <c r="C37" s="12"/>
    </row>
    <row r="38" spans="1:4" s="13" customFormat="1" ht="12" x14ac:dyDescent="0.3">
      <c r="A38" s="440"/>
      <c r="B38" s="14" t="s">
        <v>84</v>
      </c>
      <c r="C38" s="15"/>
    </row>
    <row r="39" spans="1:4" s="13" customFormat="1" ht="12" x14ac:dyDescent="0.3">
      <c r="A39" s="440"/>
      <c r="B39" s="14" t="s">
        <v>108</v>
      </c>
      <c r="C39" s="15"/>
    </row>
    <row r="40" spans="1:4" s="13" customFormat="1" ht="12" x14ac:dyDescent="0.3">
      <c r="A40" s="440"/>
      <c r="B40" s="11" t="s">
        <v>5</v>
      </c>
      <c r="C40" s="12"/>
    </row>
    <row r="41" spans="1:4" s="13" customFormat="1" ht="12" x14ac:dyDescent="0.3">
      <c r="A41" s="440"/>
      <c r="B41" s="14" t="s">
        <v>84</v>
      </c>
      <c r="C41" s="15"/>
    </row>
    <row r="42" spans="1:4" s="13" customFormat="1" ht="12" x14ac:dyDescent="0.3">
      <c r="A42" s="440"/>
      <c r="B42" s="14" t="s">
        <v>108</v>
      </c>
      <c r="C42" s="15"/>
    </row>
    <row r="43" spans="1:4" s="13" customFormat="1" ht="12" x14ac:dyDescent="0.3">
      <c r="A43" s="440"/>
      <c r="B43" s="11" t="s">
        <v>25</v>
      </c>
      <c r="C43" s="12">
        <v>10761</v>
      </c>
    </row>
    <row r="44" spans="1:4" s="13" customFormat="1" ht="12" x14ac:dyDescent="0.3">
      <c r="A44" s="440"/>
      <c r="B44" s="14" t="s">
        <v>67</v>
      </c>
      <c r="C44" s="15">
        <v>211</v>
      </c>
    </row>
    <row r="45" spans="1:4" s="13" customFormat="1" ht="12" x14ac:dyDescent="0.3">
      <c r="A45" s="440"/>
      <c r="B45" s="14" t="s">
        <v>108</v>
      </c>
      <c r="C45" s="15">
        <v>51</v>
      </c>
    </row>
    <row r="46" spans="1:4" s="157" customFormat="1" ht="12" x14ac:dyDescent="0.3">
      <c r="A46" s="440"/>
      <c r="B46" s="254" t="s">
        <v>90</v>
      </c>
      <c r="C46" s="255">
        <v>535461</v>
      </c>
    </row>
    <row r="47" spans="1:4" s="13" customFormat="1" ht="12" x14ac:dyDescent="0.3">
      <c r="A47" s="440"/>
      <c r="B47" s="11" t="s">
        <v>6</v>
      </c>
      <c r="C47" s="12">
        <v>4200</v>
      </c>
    </row>
    <row r="48" spans="1:4" s="13" customFormat="1" ht="12" x14ac:dyDescent="0.3">
      <c r="A48" s="440"/>
      <c r="B48" s="14" t="s">
        <v>84</v>
      </c>
      <c r="C48" s="15">
        <v>24</v>
      </c>
    </row>
    <row r="49" spans="1:3" s="13" customFormat="1" ht="12" x14ac:dyDescent="0.3">
      <c r="A49" s="440"/>
      <c r="B49" s="14" t="s">
        <v>108</v>
      </c>
      <c r="C49" s="15">
        <v>175</v>
      </c>
    </row>
    <row r="50" spans="1:3" s="13" customFormat="1" ht="12" x14ac:dyDescent="0.3">
      <c r="A50" s="440"/>
      <c r="B50" s="11" t="s">
        <v>7</v>
      </c>
      <c r="C50" s="12">
        <v>3600</v>
      </c>
    </row>
    <row r="51" spans="1:3" s="13" customFormat="1" ht="12" x14ac:dyDescent="0.3">
      <c r="A51" s="440"/>
      <c r="B51" s="14" t="s">
        <v>70</v>
      </c>
      <c r="C51" s="15">
        <v>600</v>
      </c>
    </row>
    <row r="52" spans="1:3" s="13" customFormat="1" ht="12" x14ac:dyDescent="0.3">
      <c r="A52" s="440"/>
      <c r="B52" s="14" t="s">
        <v>108</v>
      </c>
      <c r="C52" s="15">
        <v>6</v>
      </c>
    </row>
    <row r="53" spans="1:3" s="13" customFormat="1" ht="22.8" x14ac:dyDescent="0.3">
      <c r="A53" s="440"/>
      <c r="B53" s="11" t="s">
        <v>54</v>
      </c>
      <c r="C53" s="12">
        <v>25000</v>
      </c>
    </row>
    <row r="54" spans="1:3" s="13" customFormat="1" ht="12" x14ac:dyDescent="0.3">
      <c r="A54" s="440"/>
      <c r="B54" s="20" t="s">
        <v>67</v>
      </c>
      <c r="C54" s="21">
        <v>1</v>
      </c>
    </row>
    <row r="55" spans="1:3" s="13" customFormat="1" ht="12" x14ac:dyDescent="0.3">
      <c r="A55" s="440"/>
      <c r="B55" s="14" t="s">
        <v>63</v>
      </c>
      <c r="C55" s="15">
        <v>25000</v>
      </c>
    </row>
    <row r="56" spans="1:3" s="13" customFormat="1" ht="12" x14ac:dyDescent="0.3">
      <c r="A56" s="440"/>
      <c r="B56" s="11" t="s">
        <v>8</v>
      </c>
      <c r="C56" s="12">
        <v>18000</v>
      </c>
    </row>
    <row r="57" spans="1:3" s="13" customFormat="1" ht="12" x14ac:dyDescent="0.3">
      <c r="A57" s="440"/>
      <c r="B57" s="14" t="s">
        <v>109</v>
      </c>
      <c r="C57" s="15">
        <v>12</v>
      </c>
    </row>
    <row r="58" spans="1:3" s="13" customFormat="1" ht="12" x14ac:dyDescent="0.3">
      <c r="A58" s="440"/>
      <c r="B58" s="14" t="s">
        <v>110</v>
      </c>
      <c r="C58" s="15">
        <v>1500</v>
      </c>
    </row>
    <row r="59" spans="1:3" s="13" customFormat="1" ht="12" x14ac:dyDescent="0.3">
      <c r="A59" s="440"/>
      <c r="B59" s="11" t="s">
        <v>28</v>
      </c>
      <c r="C59" s="12">
        <v>18460</v>
      </c>
    </row>
    <row r="60" spans="1:3" s="13" customFormat="1" ht="12" x14ac:dyDescent="0.3">
      <c r="A60" s="440"/>
      <c r="B60" s="14" t="s">
        <v>67</v>
      </c>
      <c r="C60" s="15">
        <v>2</v>
      </c>
    </row>
    <row r="61" spans="1:3" s="13" customFormat="1" ht="12" x14ac:dyDescent="0.3">
      <c r="A61" s="440"/>
      <c r="B61" s="14" t="s">
        <v>111</v>
      </c>
      <c r="C61" s="15">
        <v>9230</v>
      </c>
    </row>
    <row r="62" spans="1:3" s="13" customFormat="1" ht="12" x14ac:dyDescent="0.3">
      <c r="A62" s="440"/>
      <c r="B62" s="11" t="s">
        <v>96</v>
      </c>
      <c r="C62" s="12">
        <v>144000</v>
      </c>
    </row>
    <row r="63" spans="1:3" s="13" customFormat="1" ht="12" x14ac:dyDescent="0.3">
      <c r="A63" s="440"/>
      <c r="B63" s="14" t="s">
        <v>109</v>
      </c>
      <c r="C63" s="15">
        <v>12</v>
      </c>
    </row>
    <row r="64" spans="1:3" s="13" customFormat="1" ht="12" x14ac:dyDescent="0.3">
      <c r="A64" s="440"/>
      <c r="B64" s="14" t="s">
        <v>110</v>
      </c>
      <c r="C64" s="15">
        <v>12000</v>
      </c>
    </row>
    <row r="65" spans="1:6" s="13" customFormat="1" ht="12" x14ac:dyDescent="0.3">
      <c r="A65" s="440"/>
      <c r="B65" s="11" t="s">
        <v>103</v>
      </c>
      <c r="C65" s="12">
        <v>31800</v>
      </c>
    </row>
    <row r="66" spans="1:6" s="13" customFormat="1" ht="12" x14ac:dyDescent="0.3">
      <c r="A66" s="440"/>
      <c r="B66" s="14" t="s">
        <v>109</v>
      </c>
      <c r="C66" s="15">
        <v>12</v>
      </c>
    </row>
    <row r="67" spans="1:6" s="13" customFormat="1" ht="12" x14ac:dyDescent="0.3">
      <c r="A67" s="440"/>
      <c r="B67" s="14" t="s">
        <v>110</v>
      </c>
      <c r="C67" s="15">
        <v>2650</v>
      </c>
    </row>
    <row r="68" spans="1:6" s="13" customFormat="1" ht="12" x14ac:dyDescent="0.3">
      <c r="A68" s="440"/>
      <c r="B68" s="11" t="s">
        <v>26</v>
      </c>
      <c r="C68" s="12">
        <v>7200</v>
      </c>
    </row>
    <row r="69" spans="1:6" s="13" customFormat="1" ht="12" x14ac:dyDescent="0.3">
      <c r="A69" s="440"/>
      <c r="B69" s="14" t="s">
        <v>109</v>
      </c>
      <c r="C69" s="15">
        <v>12</v>
      </c>
    </row>
    <row r="70" spans="1:6" s="13" customFormat="1" ht="12" x14ac:dyDescent="0.3">
      <c r="A70" s="440"/>
      <c r="B70" s="14" t="s">
        <v>110</v>
      </c>
      <c r="C70" s="15">
        <v>600</v>
      </c>
    </row>
    <row r="71" spans="1:6" s="157" customFormat="1" ht="12" x14ac:dyDescent="0.3">
      <c r="A71" s="440"/>
      <c r="B71" s="22" t="s">
        <v>169</v>
      </c>
      <c r="C71" s="257">
        <v>15000</v>
      </c>
      <c r="D71" s="157">
        <v>0</v>
      </c>
      <c r="F71" s="258">
        <f>D71-C71</f>
        <v>-15000</v>
      </c>
    </row>
    <row r="72" spans="1:6" s="13" customFormat="1" ht="12" x14ac:dyDescent="0.3">
      <c r="A72" s="440"/>
      <c r="B72" s="23" t="s">
        <v>46</v>
      </c>
      <c r="C72" s="24">
        <v>18000</v>
      </c>
    </row>
    <row r="73" spans="1:6" s="13" customFormat="1" ht="12" x14ac:dyDescent="0.3">
      <c r="A73" s="440"/>
      <c r="B73" s="11" t="s">
        <v>102</v>
      </c>
      <c r="C73" s="12">
        <v>60000</v>
      </c>
    </row>
    <row r="74" spans="1:6" s="13" customFormat="1" ht="12" x14ac:dyDescent="0.3">
      <c r="A74" s="440"/>
      <c r="B74" s="14" t="s">
        <v>67</v>
      </c>
      <c r="C74" s="15">
        <v>8</v>
      </c>
    </row>
    <row r="75" spans="1:6" s="13" customFormat="1" ht="12" x14ac:dyDescent="0.3">
      <c r="A75" s="440"/>
      <c r="B75" s="14" t="s">
        <v>69</v>
      </c>
      <c r="C75" s="15">
        <v>2</v>
      </c>
    </row>
    <row r="76" spans="1:6" s="13" customFormat="1" ht="12" x14ac:dyDescent="0.3">
      <c r="A76" s="440"/>
      <c r="B76" s="14" t="s">
        <v>105</v>
      </c>
      <c r="C76" s="15">
        <v>3750</v>
      </c>
    </row>
    <row r="77" spans="1:6" s="13" customFormat="1" ht="12" x14ac:dyDescent="0.3">
      <c r="A77" s="440"/>
      <c r="B77" s="11" t="s">
        <v>31</v>
      </c>
      <c r="C77" s="12">
        <v>6000</v>
      </c>
    </row>
    <row r="78" spans="1:6" s="13" customFormat="1" ht="12" x14ac:dyDescent="0.3">
      <c r="A78" s="440"/>
      <c r="B78" s="14" t="s">
        <v>109</v>
      </c>
      <c r="C78" s="15">
        <v>2</v>
      </c>
    </row>
    <row r="79" spans="1:6" s="13" customFormat="1" ht="12" x14ac:dyDescent="0.3">
      <c r="A79" s="440"/>
      <c r="B79" s="14" t="s">
        <v>110</v>
      </c>
      <c r="C79" s="15">
        <v>3000</v>
      </c>
    </row>
    <row r="80" spans="1:6" s="13" customFormat="1" ht="12" x14ac:dyDescent="0.3">
      <c r="A80" s="440"/>
      <c r="B80" s="11" t="s">
        <v>32</v>
      </c>
      <c r="C80" s="12">
        <v>14400</v>
      </c>
    </row>
    <row r="81" spans="1:3" s="13" customFormat="1" ht="12" x14ac:dyDescent="0.3">
      <c r="A81" s="440"/>
      <c r="B81" s="14" t="s">
        <v>109</v>
      </c>
      <c r="C81" s="15">
        <v>12</v>
      </c>
    </row>
    <row r="82" spans="1:3" s="13" customFormat="1" ht="12" x14ac:dyDescent="0.3">
      <c r="A82" s="440"/>
      <c r="B82" s="14" t="s">
        <v>110</v>
      </c>
      <c r="C82" s="15">
        <v>1200</v>
      </c>
    </row>
    <row r="83" spans="1:3" s="13" customFormat="1" ht="12" x14ac:dyDescent="0.3">
      <c r="A83" s="440"/>
      <c r="B83" s="11" t="s">
        <v>49</v>
      </c>
      <c r="C83" s="12">
        <v>45760</v>
      </c>
    </row>
    <row r="84" spans="1:3" s="13" customFormat="1" ht="12" x14ac:dyDescent="0.3">
      <c r="A84" s="440"/>
      <c r="B84" s="14" t="s">
        <v>65</v>
      </c>
      <c r="C84" s="15">
        <v>286</v>
      </c>
    </row>
    <row r="85" spans="1:3" s="13" customFormat="1" ht="12" x14ac:dyDescent="0.3">
      <c r="A85" s="440"/>
      <c r="B85" s="14" t="s">
        <v>68</v>
      </c>
      <c r="C85" s="15">
        <v>2</v>
      </c>
    </row>
    <row r="86" spans="1:3" s="13" customFormat="1" ht="12" x14ac:dyDescent="0.3">
      <c r="A86" s="440"/>
      <c r="B86" s="14" t="s">
        <v>63</v>
      </c>
      <c r="C86" s="15">
        <v>80</v>
      </c>
    </row>
    <row r="87" spans="1:3" s="13" customFormat="1" ht="12" x14ac:dyDescent="0.3">
      <c r="A87" s="440"/>
      <c r="B87" s="11" t="s">
        <v>33</v>
      </c>
      <c r="C87" s="12">
        <v>23000</v>
      </c>
    </row>
    <row r="88" spans="1:3" s="13" customFormat="1" ht="12" x14ac:dyDescent="0.3">
      <c r="A88" s="440"/>
      <c r="B88" s="25" t="s">
        <v>43</v>
      </c>
      <c r="C88" s="24"/>
    </row>
    <row r="89" spans="1:3" s="13" customFormat="1" ht="12" x14ac:dyDescent="0.3">
      <c r="A89" s="440"/>
      <c r="B89" s="11" t="s">
        <v>51</v>
      </c>
      <c r="C89" s="12">
        <v>6000</v>
      </c>
    </row>
    <row r="90" spans="1:3" s="13" customFormat="1" ht="12" x14ac:dyDescent="0.3">
      <c r="A90" s="440"/>
      <c r="B90" s="14" t="s">
        <v>104</v>
      </c>
      <c r="C90" s="15">
        <v>20</v>
      </c>
    </row>
    <row r="91" spans="1:3" s="13" customFormat="1" ht="12" x14ac:dyDescent="0.3">
      <c r="A91" s="440"/>
      <c r="B91" s="14" t="s">
        <v>105</v>
      </c>
      <c r="C91" s="15">
        <v>300</v>
      </c>
    </row>
    <row r="92" spans="1:3" s="13" customFormat="1" ht="12" x14ac:dyDescent="0.3">
      <c r="A92" s="440"/>
      <c r="B92" s="11" t="s">
        <v>52</v>
      </c>
      <c r="C92" s="12"/>
    </row>
    <row r="93" spans="1:3" s="13" customFormat="1" ht="12" x14ac:dyDescent="0.3">
      <c r="A93" s="440"/>
      <c r="B93" s="14" t="s">
        <v>109</v>
      </c>
      <c r="C93" s="15"/>
    </row>
    <row r="94" spans="1:3" s="13" customFormat="1" ht="12" x14ac:dyDescent="0.3">
      <c r="A94" s="440"/>
      <c r="B94" s="14" t="s">
        <v>110</v>
      </c>
      <c r="C94" s="15"/>
    </row>
    <row r="95" spans="1:3" s="13" customFormat="1" ht="12" x14ac:dyDescent="0.3">
      <c r="A95" s="440"/>
      <c r="B95" s="11" t="s">
        <v>45</v>
      </c>
      <c r="C95" s="12">
        <v>80000</v>
      </c>
    </row>
    <row r="96" spans="1:3" s="13" customFormat="1" ht="12" x14ac:dyDescent="0.3">
      <c r="A96" s="440"/>
      <c r="B96" s="25" t="s">
        <v>9</v>
      </c>
      <c r="C96" s="24">
        <v>22000</v>
      </c>
    </row>
    <row r="97" spans="1:3" s="36" customFormat="1" ht="12" x14ac:dyDescent="0.3">
      <c r="A97" s="440"/>
      <c r="B97" s="28" t="s">
        <v>129</v>
      </c>
      <c r="C97" s="35">
        <v>40000</v>
      </c>
    </row>
    <row r="98" spans="1:3" s="36" customFormat="1" ht="12" x14ac:dyDescent="0.3">
      <c r="A98" s="440"/>
      <c r="B98" s="28"/>
      <c r="C98" s="35"/>
    </row>
    <row r="99" spans="1:3" s="36" customFormat="1" ht="12" x14ac:dyDescent="0.3">
      <c r="A99" s="440"/>
      <c r="B99" s="28"/>
      <c r="C99" s="35"/>
    </row>
    <row r="100" spans="1:3" s="36" customFormat="1" ht="12" x14ac:dyDescent="0.3">
      <c r="A100" s="440"/>
      <c r="B100" s="28"/>
      <c r="C100" s="35"/>
    </row>
    <row r="101" spans="1:3" s="36" customFormat="1" ht="12" x14ac:dyDescent="0.3">
      <c r="A101" s="440"/>
      <c r="B101" s="28"/>
      <c r="C101" s="35"/>
    </row>
    <row r="102" spans="1:3" s="13" customFormat="1" ht="12" x14ac:dyDescent="0.3">
      <c r="A102" s="440"/>
      <c r="B102" s="16" t="s">
        <v>89</v>
      </c>
      <c r="C102" s="17">
        <v>582420</v>
      </c>
    </row>
    <row r="103" spans="1:3" s="13" customFormat="1" ht="12" x14ac:dyDescent="0.3">
      <c r="A103" s="434">
        <v>226</v>
      </c>
      <c r="B103" s="25" t="s">
        <v>10</v>
      </c>
      <c r="C103" s="24">
        <v>14200</v>
      </c>
    </row>
    <row r="104" spans="1:3" s="13" customFormat="1" ht="12" x14ac:dyDescent="0.3">
      <c r="A104" s="435"/>
      <c r="B104" s="11" t="s">
        <v>11</v>
      </c>
      <c r="C104" s="12">
        <v>75600</v>
      </c>
    </row>
    <row r="105" spans="1:3" s="13" customFormat="1" ht="12" x14ac:dyDescent="0.3">
      <c r="A105" s="435"/>
      <c r="B105" s="14" t="s">
        <v>68</v>
      </c>
      <c r="C105" s="15">
        <v>28</v>
      </c>
    </row>
    <row r="106" spans="1:3" s="13" customFormat="1" ht="12" x14ac:dyDescent="0.3">
      <c r="A106" s="435"/>
      <c r="B106" s="14" t="s">
        <v>112</v>
      </c>
      <c r="C106" s="15">
        <v>2700</v>
      </c>
    </row>
    <row r="107" spans="1:3" s="13" customFormat="1" ht="12" x14ac:dyDescent="0.3">
      <c r="A107" s="435"/>
      <c r="B107" s="11" t="s">
        <v>42</v>
      </c>
      <c r="C107" s="12">
        <v>5640</v>
      </c>
    </row>
    <row r="108" spans="1:3" s="13" customFormat="1" ht="12" x14ac:dyDescent="0.3">
      <c r="A108" s="435"/>
      <c r="B108" s="14" t="s">
        <v>68</v>
      </c>
      <c r="C108" s="15">
        <v>4</v>
      </c>
    </row>
    <row r="109" spans="1:3" s="13" customFormat="1" ht="12" x14ac:dyDescent="0.3">
      <c r="A109" s="435"/>
      <c r="B109" s="14" t="s">
        <v>112</v>
      </c>
      <c r="C109" s="15">
        <v>1410</v>
      </c>
    </row>
    <row r="110" spans="1:3" s="13" customFormat="1" ht="12" x14ac:dyDescent="0.3">
      <c r="A110" s="435"/>
      <c r="B110" s="11" t="s">
        <v>12</v>
      </c>
      <c r="C110" s="12">
        <v>43200</v>
      </c>
    </row>
    <row r="111" spans="1:3" s="13" customFormat="1" ht="12" x14ac:dyDescent="0.3">
      <c r="A111" s="435"/>
      <c r="B111" s="14" t="s">
        <v>109</v>
      </c>
      <c r="C111" s="15">
        <v>12</v>
      </c>
    </row>
    <row r="112" spans="1:3" s="13" customFormat="1" ht="12" x14ac:dyDescent="0.3">
      <c r="A112" s="435"/>
      <c r="B112" s="14" t="s">
        <v>110</v>
      </c>
      <c r="C112" s="15">
        <v>3600</v>
      </c>
    </row>
    <row r="113" spans="1:3" s="13" customFormat="1" ht="12" x14ac:dyDescent="0.3">
      <c r="A113" s="435"/>
      <c r="B113" s="11" t="s">
        <v>36</v>
      </c>
      <c r="C113" s="12">
        <v>36000</v>
      </c>
    </row>
    <row r="114" spans="1:3" s="13" customFormat="1" ht="12" x14ac:dyDescent="0.3">
      <c r="A114" s="435"/>
      <c r="B114" s="14" t="s">
        <v>109</v>
      </c>
      <c r="C114" s="15">
        <v>12</v>
      </c>
    </row>
    <row r="115" spans="1:3" s="13" customFormat="1" ht="12" x14ac:dyDescent="0.3">
      <c r="A115" s="435"/>
      <c r="B115" s="14" t="s">
        <v>110</v>
      </c>
      <c r="C115" s="15">
        <v>3000</v>
      </c>
    </row>
    <row r="116" spans="1:3" s="13" customFormat="1" ht="12" x14ac:dyDescent="0.3">
      <c r="A116" s="435"/>
      <c r="B116" s="11" t="s">
        <v>113</v>
      </c>
      <c r="C116" s="12">
        <v>7000</v>
      </c>
    </row>
    <row r="117" spans="1:3" s="13" customFormat="1" ht="12" x14ac:dyDescent="0.3">
      <c r="A117" s="435"/>
      <c r="B117" s="14" t="s">
        <v>109</v>
      </c>
      <c r="C117" s="15">
        <v>1</v>
      </c>
    </row>
    <row r="118" spans="1:3" s="13" customFormat="1" ht="12" x14ac:dyDescent="0.3">
      <c r="A118" s="435"/>
      <c r="B118" s="14" t="s">
        <v>110</v>
      </c>
      <c r="C118" s="15">
        <v>7000</v>
      </c>
    </row>
    <row r="119" spans="1:3" s="13" customFormat="1" ht="12" x14ac:dyDescent="0.3">
      <c r="A119" s="435"/>
      <c r="B119" s="11" t="s">
        <v>41</v>
      </c>
      <c r="C119" s="12">
        <v>24000</v>
      </c>
    </row>
    <row r="120" spans="1:3" s="13" customFormat="1" ht="12" x14ac:dyDescent="0.3">
      <c r="A120" s="435"/>
      <c r="B120" s="14" t="s">
        <v>66</v>
      </c>
      <c r="C120" s="15">
        <v>3</v>
      </c>
    </row>
    <row r="121" spans="1:3" s="13" customFormat="1" ht="12" x14ac:dyDescent="0.3">
      <c r="A121" s="435"/>
      <c r="B121" s="14" t="s">
        <v>63</v>
      </c>
      <c r="C121" s="15">
        <v>8000</v>
      </c>
    </row>
    <row r="122" spans="1:3" s="13" customFormat="1" ht="12" x14ac:dyDescent="0.3">
      <c r="A122" s="435"/>
      <c r="B122" s="11" t="s">
        <v>40</v>
      </c>
      <c r="C122" s="12">
        <v>6500</v>
      </c>
    </row>
    <row r="123" spans="1:3" s="13" customFormat="1" ht="12" x14ac:dyDescent="0.3">
      <c r="A123" s="435"/>
      <c r="B123" s="14" t="s">
        <v>66</v>
      </c>
      <c r="C123" s="15">
        <v>1</v>
      </c>
    </row>
    <row r="124" spans="1:3" s="13" customFormat="1" ht="12" x14ac:dyDescent="0.3">
      <c r="A124" s="435"/>
      <c r="B124" s="14" t="s">
        <v>63</v>
      </c>
      <c r="C124" s="15">
        <v>6500</v>
      </c>
    </row>
    <row r="125" spans="1:3" s="13" customFormat="1" ht="12" x14ac:dyDescent="0.3">
      <c r="A125" s="435"/>
      <c r="B125" s="11" t="s">
        <v>37</v>
      </c>
      <c r="C125" s="12">
        <v>3000</v>
      </c>
    </row>
    <row r="126" spans="1:3" s="13" customFormat="1" ht="12" x14ac:dyDescent="0.3">
      <c r="A126" s="435"/>
      <c r="B126" s="25" t="s">
        <v>44</v>
      </c>
      <c r="C126" s="24">
        <v>10000</v>
      </c>
    </row>
    <row r="127" spans="1:3" s="13" customFormat="1" ht="12" x14ac:dyDescent="0.3">
      <c r="A127" s="435"/>
      <c r="B127" s="14" t="s">
        <v>66</v>
      </c>
      <c r="C127" s="15">
        <v>20</v>
      </c>
    </row>
    <row r="128" spans="1:3" s="13" customFormat="1" ht="12" x14ac:dyDescent="0.3">
      <c r="A128" s="435"/>
      <c r="B128" s="14" t="s">
        <v>63</v>
      </c>
      <c r="C128" s="15">
        <v>500</v>
      </c>
    </row>
    <row r="129" spans="1:4" s="13" customFormat="1" ht="12" x14ac:dyDescent="0.3">
      <c r="A129" s="435"/>
      <c r="B129" s="25" t="s">
        <v>13</v>
      </c>
      <c r="C129" s="24">
        <v>23000</v>
      </c>
    </row>
    <row r="130" spans="1:4" s="13" customFormat="1" ht="12" x14ac:dyDescent="0.3">
      <c r="A130" s="435"/>
      <c r="B130" s="11" t="s">
        <v>14</v>
      </c>
      <c r="C130" s="12">
        <v>5800</v>
      </c>
    </row>
    <row r="131" spans="1:4" s="13" customFormat="1" ht="12" x14ac:dyDescent="0.3">
      <c r="A131" s="435"/>
      <c r="B131" s="25" t="s">
        <v>30</v>
      </c>
      <c r="C131" s="24">
        <v>7200</v>
      </c>
    </row>
    <row r="132" spans="1:4" s="157" customFormat="1" ht="12" x14ac:dyDescent="0.3">
      <c r="A132" s="435"/>
      <c r="B132" s="22" t="s">
        <v>48</v>
      </c>
      <c r="C132" s="257">
        <v>11968</v>
      </c>
      <c r="D132" s="157" t="s">
        <v>181</v>
      </c>
    </row>
    <row r="133" spans="1:4" s="13" customFormat="1" ht="12" x14ac:dyDescent="0.3">
      <c r="A133" s="435"/>
      <c r="B133" s="14" t="s">
        <v>66</v>
      </c>
      <c r="C133" s="15">
        <v>1</v>
      </c>
    </row>
    <row r="134" spans="1:4" s="13" customFormat="1" ht="12" x14ac:dyDescent="0.3">
      <c r="A134" s="435"/>
      <c r="B134" s="14" t="s">
        <v>63</v>
      </c>
      <c r="C134" s="15">
        <v>11968</v>
      </c>
    </row>
    <row r="135" spans="1:4" s="13" customFormat="1" ht="12" x14ac:dyDescent="0.3">
      <c r="A135" s="435"/>
      <c r="B135" s="11" t="s">
        <v>15</v>
      </c>
      <c r="C135" s="12">
        <v>1400</v>
      </c>
    </row>
    <row r="136" spans="1:4" s="13" customFormat="1" ht="12" x14ac:dyDescent="0.3">
      <c r="A136" s="435"/>
      <c r="B136" s="25" t="s">
        <v>16</v>
      </c>
      <c r="C136" s="24">
        <v>29500</v>
      </c>
    </row>
    <row r="137" spans="1:4" s="13" customFormat="1" ht="12" x14ac:dyDescent="0.3">
      <c r="A137" s="435"/>
      <c r="B137" s="14" t="s">
        <v>66</v>
      </c>
      <c r="C137" s="15">
        <v>5</v>
      </c>
    </row>
    <row r="138" spans="1:4" s="13" customFormat="1" ht="12" x14ac:dyDescent="0.3">
      <c r="A138" s="435"/>
      <c r="B138" s="14" t="s">
        <v>112</v>
      </c>
      <c r="C138" s="15">
        <v>5900</v>
      </c>
    </row>
    <row r="139" spans="1:4" s="13" customFormat="1" ht="12" x14ac:dyDescent="0.3">
      <c r="A139" s="435"/>
      <c r="B139" s="11" t="s">
        <v>34</v>
      </c>
      <c r="C139" s="12">
        <v>32900</v>
      </c>
    </row>
    <row r="140" spans="1:4" s="13" customFormat="1" ht="12" x14ac:dyDescent="0.3">
      <c r="A140" s="435"/>
      <c r="B140" s="14" t="s">
        <v>66</v>
      </c>
      <c r="C140" s="15">
        <v>2</v>
      </c>
    </row>
    <row r="141" spans="1:4" s="13" customFormat="1" ht="12" x14ac:dyDescent="0.3">
      <c r="A141" s="435"/>
      <c r="B141" s="14" t="s">
        <v>63</v>
      </c>
      <c r="C141" s="15">
        <v>3350</v>
      </c>
    </row>
    <row r="142" spans="1:4" s="13" customFormat="1" ht="12" x14ac:dyDescent="0.3">
      <c r="A142" s="435"/>
      <c r="B142" s="14" t="s">
        <v>66</v>
      </c>
      <c r="C142" s="15">
        <v>2</v>
      </c>
    </row>
    <row r="143" spans="1:4" s="13" customFormat="1" ht="12" x14ac:dyDescent="0.3">
      <c r="A143" s="435"/>
      <c r="B143" s="14" t="s">
        <v>63</v>
      </c>
      <c r="C143" s="15">
        <v>13110</v>
      </c>
    </row>
    <row r="144" spans="1:4" s="13" customFormat="1" ht="12" x14ac:dyDescent="0.3">
      <c r="A144" s="435"/>
      <c r="B144" s="11" t="s">
        <v>35</v>
      </c>
      <c r="C144" s="12">
        <v>54750</v>
      </c>
    </row>
    <row r="145" spans="1:3" s="13" customFormat="1" ht="12" x14ac:dyDescent="0.3">
      <c r="A145" s="435"/>
      <c r="B145" s="14" t="s">
        <v>64</v>
      </c>
      <c r="C145" s="15">
        <v>365</v>
      </c>
    </row>
    <row r="146" spans="1:3" s="13" customFormat="1" ht="12" x14ac:dyDescent="0.3">
      <c r="A146" s="435"/>
      <c r="B146" s="14" t="s">
        <v>68</v>
      </c>
      <c r="C146" s="15">
        <v>2</v>
      </c>
    </row>
    <row r="147" spans="1:3" s="13" customFormat="1" ht="12" x14ac:dyDescent="0.3">
      <c r="A147" s="435"/>
      <c r="B147" s="14" t="s">
        <v>63</v>
      </c>
      <c r="C147" s="15">
        <v>75</v>
      </c>
    </row>
    <row r="148" spans="1:3" s="13" customFormat="1" ht="27.75" customHeight="1" x14ac:dyDescent="0.3">
      <c r="A148" s="435"/>
      <c r="B148" s="11" t="s">
        <v>50</v>
      </c>
      <c r="C148" s="12">
        <v>45760</v>
      </c>
    </row>
    <row r="149" spans="1:3" s="13" customFormat="1" ht="12" x14ac:dyDescent="0.3">
      <c r="A149" s="435"/>
      <c r="B149" s="14" t="s">
        <v>64</v>
      </c>
      <c r="C149" s="15">
        <v>286</v>
      </c>
    </row>
    <row r="150" spans="1:3" s="13" customFormat="1" ht="12" x14ac:dyDescent="0.3">
      <c r="A150" s="435"/>
      <c r="B150" s="14" t="s">
        <v>68</v>
      </c>
      <c r="C150" s="15">
        <v>2</v>
      </c>
    </row>
    <row r="151" spans="1:3" s="13" customFormat="1" ht="12" x14ac:dyDescent="0.3">
      <c r="A151" s="435"/>
      <c r="B151" s="14" t="s">
        <v>63</v>
      </c>
      <c r="C151" s="15">
        <v>80</v>
      </c>
    </row>
    <row r="152" spans="1:3" s="26" customFormat="1" ht="26.25" customHeight="1" x14ac:dyDescent="0.3">
      <c r="A152" s="435"/>
      <c r="B152" s="11" t="s">
        <v>47</v>
      </c>
      <c r="C152" s="12">
        <v>18000</v>
      </c>
    </row>
    <row r="153" spans="1:3" s="26" customFormat="1" ht="11.4" x14ac:dyDescent="0.3">
      <c r="A153" s="435"/>
      <c r="B153" s="25" t="s">
        <v>27</v>
      </c>
      <c r="C153" s="24">
        <v>9600</v>
      </c>
    </row>
    <row r="154" spans="1:3" s="13" customFormat="1" ht="12" x14ac:dyDescent="0.3">
      <c r="A154" s="435"/>
      <c r="B154" s="14" t="s">
        <v>114</v>
      </c>
      <c r="C154" s="15">
        <v>12</v>
      </c>
    </row>
    <row r="155" spans="1:3" s="13" customFormat="1" ht="12" x14ac:dyDescent="0.3">
      <c r="A155" s="435"/>
      <c r="B155" s="14" t="s">
        <v>110</v>
      </c>
      <c r="C155" s="15">
        <v>800</v>
      </c>
    </row>
    <row r="156" spans="1:3" s="26" customFormat="1" ht="21.75" customHeight="1" x14ac:dyDescent="0.3">
      <c r="A156" s="435"/>
      <c r="B156" s="11" t="s">
        <v>17</v>
      </c>
      <c r="C156" s="12">
        <v>30000</v>
      </c>
    </row>
    <row r="157" spans="1:3" s="13" customFormat="1" ht="12" x14ac:dyDescent="0.3">
      <c r="A157" s="435"/>
      <c r="B157" s="14" t="s">
        <v>114</v>
      </c>
      <c r="C157" s="15">
        <v>12</v>
      </c>
    </row>
    <row r="158" spans="1:3" s="13" customFormat="1" ht="18.75" customHeight="1" x14ac:dyDescent="0.3">
      <c r="A158" s="435"/>
      <c r="B158" s="14" t="s">
        <v>110</v>
      </c>
      <c r="C158" s="15">
        <v>2500</v>
      </c>
    </row>
    <row r="159" spans="1:3" s="26" customFormat="1" ht="11.4" x14ac:dyDescent="0.3">
      <c r="A159" s="435"/>
      <c r="B159" s="11" t="s">
        <v>18</v>
      </c>
      <c r="C159" s="12">
        <v>18000</v>
      </c>
    </row>
    <row r="160" spans="1:3" s="13" customFormat="1" ht="12" x14ac:dyDescent="0.3">
      <c r="A160" s="435"/>
      <c r="B160" s="14" t="s">
        <v>66</v>
      </c>
      <c r="C160" s="15">
        <v>12</v>
      </c>
    </row>
    <row r="161" spans="1:3" s="13" customFormat="1" ht="12" x14ac:dyDescent="0.3">
      <c r="A161" s="435"/>
      <c r="B161" s="14" t="s">
        <v>63</v>
      </c>
      <c r="C161" s="15">
        <v>1500</v>
      </c>
    </row>
    <row r="162" spans="1:3" s="26" customFormat="1" ht="11.4" x14ac:dyDescent="0.3">
      <c r="A162" s="435"/>
      <c r="B162" s="11" t="s">
        <v>19</v>
      </c>
      <c r="C162" s="12">
        <v>25000</v>
      </c>
    </row>
    <row r="163" spans="1:3" s="13" customFormat="1" ht="12" x14ac:dyDescent="0.3">
      <c r="A163" s="435"/>
      <c r="B163" s="14" t="s">
        <v>66</v>
      </c>
      <c r="C163" s="15">
        <v>5</v>
      </c>
    </row>
    <row r="164" spans="1:3" s="13" customFormat="1" ht="12" x14ac:dyDescent="0.3">
      <c r="A164" s="435"/>
      <c r="B164" s="14" t="s">
        <v>63</v>
      </c>
      <c r="C164" s="15">
        <v>5000</v>
      </c>
    </row>
    <row r="165" spans="1:3" s="26" customFormat="1" ht="11.4" x14ac:dyDescent="0.3">
      <c r="A165" s="436"/>
      <c r="B165" s="16" t="s">
        <v>88</v>
      </c>
      <c r="C165" s="17">
        <v>538018</v>
      </c>
    </row>
    <row r="166" spans="1:3" s="13" customFormat="1" ht="12" x14ac:dyDescent="0.3">
      <c r="A166" s="440">
        <v>290</v>
      </c>
      <c r="B166" s="27" t="s">
        <v>20</v>
      </c>
      <c r="C166" s="15">
        <v>40000</v>
      </c>
    </row>
    <row r="167" spans="1:3" s="13" customFormat="1" ht="12" x14ac:dyDescent="0.3">
      <c r="A167" s="440"/>
      <c r="B167" s="27" t="s">
        <v>21</v>
      </c>
      <c r="C167" s="15">
        <v>40000</v>
      </c>
    </row>
    <row r="168" spans="1:3" s="26" customFormat="1" ht="11.4" x14ac:dyDescent="0.3">
      <c r="A168" s="440"/>
      <c r="B168" s="16" t="s">
        <v>87</v>
      </c>
      <c r="C168" s="17">
        <v>80000</v>
      </c>
    </row>
    <row r="169" spans="1:3" s="26" customFormat="1" ht="11.4" x14ac:dyDescent="0.3">
      <c r="A169" s="434">
        <v>340</v>
      </c>
      <c r="B169" s="11" t="s">
        <v>115</v>
      </c>
      <c r="C169" s="12">
        <v>119000</v>
      </c>
    </row>
    <row r="170" spans="1:3" s="13" customFormat="1" ht="12" x14ac:dyDescent="0.3">
      <c r="A170" s="435"/>
      <c r="B170" s="27" t="s">
        <v>75</v>
      </c>
      <c r="C170" s="15">
        <v>35</v>
      </c>
    </row>
    <row r="171" spans="1:3" s="13" customFormat="1" ht="12" x14ac:dyDescent="0.3">
      <c r="A171" s="435"/>
      <c r="B171" s="27" t="s">
        <v>76</v>
      </c>
      <c r="C171" s="15">
        <v>20</v>
      </c>
    </row>
    <row r="172" spans="1:3" s="13" customFormat="1" ht="12" x14ac:dyDescent="0.3">
      <c r="A172" s="435"/>
      <c r="B172" s="27" t="s">
        <v>77</v>
      </c>
      <c r="C172" s="15">
        <v>170</v>
      </c>
    </row>
    <row r="173" spans="1:3" s="26" customFormat="1" ht="11.4" x14ac:dyDescent="0.3">
      <c r="A173" s="435"/>
      <c r="B173" s="11" t="s">
        <v>78</v>
      </c>
      <c r="C173" s="12"/>
    </row>
    <row r="174" spans="1:3" s="13" customFormat="1" ht="12" x14ac:dyDescent="0.3">
      <c r="A174" s="435"/>
      <c r="B174" s="27" t="s">
        <v>75</v>
      </c>
      <c r="C174" s="15"/>
    </row>
    <row r="175" spans="1:3" s="13" customFormat="1" ht="12" x14ac:dyDescent="0.3">
      <c r="A175" s="435"/>
      <c r="B175" s="27" t="s">
        <v>76</v>
      </c>
      <c r="C175" s="15"/>
    </row>
    <row r="176" spans="1:3" s="13" customFormat="1" ht="12" x14ac:dyDescent="0.3">
      <c r="A176" s="435"/>
      <c r="B176" s="27" t="s">
        <v>77</v>
      </c>
      <c r="C176" s="15"/>
    </row>
    <row r="177" spans="1:3" s="26" customFormat="1" ht="11.4" x14ac:dyDescent="0.3">
      <c r="A177" s="435"/>
      <c r="B177" s="11" t="s">
        <v>74</v>
      </c>
      <c r="C177" s="12">
        <v>44200</v>
      </c>
    </row>
    <row r="178" spans="1:3" s="13" customFormat="1" ht="12" x14ac:dyDescent="0.3">
      <c r="A178" s="435"/>
      <c r="B178" s="27" t="s">
        <v>75</v>
      </c>
      <c r="C178" s="15">
        <v>13</v>
      </c>
    </row>
    <row r="179" spans="1:3" s="13" customFormat="1" ht="12" x14ac:dyDescent="0.3">
      <c r="A179" s="435"/>
      <c r="B179" s="27" t="s">
        <v>76</v>
      </c>
      <c r="C179" s="15">
        <v>20</v>
      </c>
    </row>
    <row r="180" spans="1:3" s="13" customFormat="1" ht="12" x14ac:dyDescent="0.3">
      <c r="A180" s="435"/>
      <c r="B180" s="27" t="s">
        <v>77</v>
      </c>
      <c r="C180" s="15">
        <v>170</v>
      </c>
    </row>
    <row r="181" spans="1:3" s="26" customFormat="1" ht="11.4" x14ac:dyDescent="0.3">
      <c r="A181" s="435"/>
      <c r="B181" s="11" t="s">
        <v>71</v>
      </c>
      <c r="C181" s="12">
        <v>80850</v>
      </c>
    </row>
    <row r="182" spans="1:3" s="26" customFormat="1" ht="11.4" x14ac:dyDescent="0.3">
      <c r="A182" s="435"/>
      <c r="B182" s="25" t="s">
        <v>39</v>
      </c>
      <c r="C182" s="24">
        <v>27500</v>
      </c>
    </row>
    <row r="183" spans="1:3" s="26" customFormat="1" ht="11.4" x14ac:dyDescent="0.3">
      <c r="A183" s="435"/>
      <c r="B183" s="25"/>
      <c r="C183" s="24"/>
    </row>
    <row r="184" spans="1:3" s="26" customFormat="1" ht="11.4" x14ac:dyDescent="0.3">
      <c r="A184" s="435"/>
      <c r="B184" s="25"/>
      <c r="C184" s="24"/>
    </row>
    <row r="185" spans="1:3" s="26" customFormat="1" ht="11.4" x14ac:dyDescent="0.3">
      <c r="A185" s="435"/>
      <c r="B185" s="25"/>
      <c r="C185" s="24"/>
    </row>
    <row r="186" spans="1:3" s="26" customFormat="1" ht="11.4" x14ac:dyDescent="0.3">
      <c r="A186" s="435"/>
      <c r="B186" s="25"/>
      <c r="C186" s="24"/>
    </row>
    <row r="187" spans="1:3" s="26" customFormat="1" ht="11.4" x14ac:dyDescent="0.3">
      <c r="A187" s="435"/>
      <c r="B187" s="25"/>
      <c r="C187" s="24"/>
    </row>
    <row r="188" spans="1:3" s="26" customFormat="1" ht="11.4" x14ac:dyDescent="0.3">
      <c r="A188" s="435"/>
      <c r="B188" s="25"/>
      <c r="C188" s="24"/>
    </row>
    <row r="189" spans="1:3" s="26" customFormat="1" ht="11.4" x14ac:dyDescent="0.3">
      <c r="A189" s="435"/>
      <c r="B189" s="11" t="s">
        <v>22</v>
      </c>
      <c r="C189" s="12">
        <v>41648</v>
      </c>
    </row>
    <row r="190" spans="1:3" s="26" customFormat="1" ht="11.4" x14ac:dyDescent="0.3">
      <c r="A190" s="435"/>
      <c r="B190" s="25"/>
      <c r="C190" s="24"/>
    </row>
    <row r="191" spans="1:3" s="26" customFormat="1" ht="11.4" x14ac:dyDescent="0.3">
      <c r="A191" s="435"/>
      <c r="B191" s="25" t="s">
        <v>259</v>
      </c>
      <c r="C191" s="24">
        <v>28500</v>
      </c>
    </row>
    <row r="192" spans="1:3" s="26" customFormat="1" ht="11.4" x14ac:dyDescent="0.3">
      <c r="A192" s="435"/>
      <c r="B192" s="25" t="s">
        <v>260</v>
      </c>
      <c r="C192" s="24">
        <v>7500</v>
      </c>
    </row>
    <row r="193" spans="1:3" s="26" customFormat="1" ht="11.4" x14ac:dyDescent="0.3">
      <c r="A193" s="435"/>
      <c r="B193" s="25" t="s">
        <v>261</v>
      </c>
      <c r="C193" s="24">
        <v>7848</v>
      </c>
    </row>
    <row r="194" spans="1:3" s="26" customFormat="1" ht="11.4" x14ac:dyDescent="0.3">
      <c r="A194" s="435"/>
      <c r="B194" s="25" t="s">
        <v>262</v>
      </c>
      <c r="C194" s="24">
        <v>2800</v>
      </c>
    </row>
    <row r="195" spans="1:3" s="26" customFormat="1" ht="11.4" x14ac:dyDescent="0.3">
      <c r="A195" s="435"/>
      <c r="B195" s="25"/>
      <c r="C195" s="24"/>
    </row>
    <row r="196" spans="1:3" s="26" customFormat="1" ht="11.4" x14ac:dyDescent="0.3">
      <c r="A196" s="435"/>
      <c r="B196" s="25" t="s">
        <v>72</v>
      </c>
      <c r="C196" s="24">
        <v>5200</v>
      </c>
    </row>
    <row r="197" spans="1:3" s="26" customFormat="1" ht="11.4" x14ac:dyDescent="0.3">
      <c r="A197" s="435"/>
      <c r="B197" s="25"/>
      <c r="C197" s="24"/>
    </row>
    <row r="198" spans="1:3" s="26" customFormat="1" ht="11.4" x14ac:dyDescent="0.3">
      <c r="A198" s="435"/>
      <c r="B198" s="25" t="s">
        <v>263</v>
      </c>
      <c r="C198" s="24">
        <v>2400</v>
      </c>
    </row>
    <row r="199" spans="1:3" s="26" customFormat="1" ht="11.4" x14ac:dyDescent="0.3">
      <c r="A199" s="435"/>
      <c r="B199" s="25" t="s">
        <v>264</v>
      </c>
      <c r="C199" s="24">
        <v>1200</v>
      </c>
    </row>
    <row r="200" spans="1:3" s="26" customFormat="1" ht="11.4" x14ac:dyDescent="0.3">
      <c r="A200" s="435"/>
      <c r="B200" s="25" t="s">
        <v>265</v>
      </c>
      <c r="C200" s="24">
        <v>1600</v>
      </c>
    </row>
    <row r="201" spans="1:3" s="26" customFormat="1" ht="11.4" x14ac:dyDescent="0.3">
      <c r="A201" s="435"/>
      <c r="B201" s="25"/>
      <c r="C201" s="24"/>
    </row>
    <row r="202" spans="1:3" s="26" customFormat="1" ht="11.4" x14ac:dyDescent="0.3">
      <c r="A202" s="435"/>
      <c r="B202" s="25"/>
      <c r="C202" s="24"/>
    </row>
    <row r="203" spans="1:3" s="26" customFormat="1" ht="11.4" x14ac:dyDescent="0.3">
      <c r="A203" s="435"/>
      <c r="B203" s="11" t="s">
        <v>53</v>
      </c>
      <c r="C203" s="12">
        <v>3200</v>
      </c>
    </row>
    <row r="204" spans="1:3" s="26" customFormat="1" ht="11.4" x14ac:dyDescent="0.3">
      <c r="A204" s="435"/>
      <c r="B204" s="25" t="s">
        <v>73</v>
      </c>
      <c r="C204" s="24"/>
    </row>
    <row r="205" spans="1:3" s="26" customFormat="1" ht="11.4" x14ac:dyDescent="0.3">
      <c r="A205" s="435"/>
      <c r="B205" s="11" t="s">
        <v>38</v>
      </c>
      <c r="C205" s="12">
        <v>647500</v>
      </c>
    </row>
    <row r="206" spans="1:3" s="13" customFormat="1" ht="12" x14ac:dyDescent="0.3">
      <c r="A206" s="435"/>
      <c r="B206" s="27" t="s">
        <v>117</v>
      </c>
      <c r="C206" s="15">
        <v>55060</v>
      </c>
    </row>
    <row r="207" spans="1:3" s="13" customFormat="1" ht="12" x14ac:dyDescent="0.3">
      <c r="A207" s="435"/>
      <c r="B207" s="27" t="s">
        <v>118</v>
      </c>
      <c r="C207" s="15">
        <v>33.6</v>
      </c>
    </row>
    <row r="208" spans="1:3" s="13" customFormat="1" ht="12" x14ac:dyDescent="0.3">
      <c r="A208" s="435"/>
      <c r="B208" s="27" t="s">
        <v>85</v>
      </c>
      <c r="C208" s="15">
        <v>18500</v>
      </c>
    </row>
    <row r="209" spans="1:4" s="13" customFormat="1" ht="12" x14ac:dyDescent="0.3">
      <c r="A209" s="435"/>
      <c r="B209" s="27" t="s">
        <v>116</v>
      </c>
      <c r="C209" s="15">
        <v>35</v>
      </c>
    </row>
    <row r="210" spans="1:4" s="26" customFormat="1" ht="11.4" x14ac:dyDescent="0.3">
      <c r="A210" s="435"/>
      <c r="B210" s="11" t="s">
        <v>23</v>
      </c>
      <c r="C210" s="12">
        <v>936000</v>
      </c>
    </row>
    <row r="211" spans="1:4" s="13" customFormat="1" ht="12" x14ac:dyDescent="0.3">
      <c r="A211" s="435"/>
      <c r="B211" s="27" t="s">
        <v>67</v>
      </c>
      <c r="C211" s="15">
        <v>180</v>
      </c>
    </row>
    <row r="212" spans="1:4" s="13" customFormat="1" ht="12" x14ac:dyDescent="0.3">
      <c r="A212" s="435"/>
      <c r="B212" s="27" t="s">
        <v>119</v>
      </c>
      <c r="C212" s="15">
        <v>5200</v>
      </c>
    </row>
    <row r="213" spans="1:4" s="26" customFormat="1" ht="11.4" x14ac:dyDescent="0.3">
      <c r="A213" s="435"/>
      <c r="B213" s="11" t="s">
        <v>24</v>
      </c>
      <c r="C213" s="29"/>
    </row>
    <row r="214" spans="1:4" s="13" customFormat="1" ht="12" x14ac:dyDescent="0.3">
      <c r="A214" s="435"/>
      <c r="B214" s="27" t="s">
        <v>67</v>
      </c>
      <c r="C214" s="15"/>
    </row>
    <row r="215" spans="1:4" s="13" customFormat="1" ht="12" x14ac:dyDescent="0.3">
      <c r="A215" s="435"/>
      <c r="B215" s="27" t="s">
        <v>120</v>
      </c>
      <c r="C215" s="15"/>
    </row>
    <row r="216" spans="1:4" s="13" customFormat="1" ht="18.75" customHeight="1" x14ac:dyDescent="0.3">
      <c r="A216" s="436"/>
      <c r="B216" s="16" t="s">
        <v>86</v>
      </c>
      <c r="C216" s="17">
        <v>1905098</v>
      </c>
      <c r="D216" s="30">
        <f>C169+C177+C181+C182+C189+C191+C192+C193+C194+C196+C203+C205+C210</f>
        <v>1951746</v>
      </c>
    </row>
    <row r="217" spans="1:4" s="13" customFormat="1" ht="18.75" customHeight="1" x14ac:dyDescent="0.3">
      <c r="A217" s="224">
        <v>310</v>
      </c>
      <c r="B217" s="225" t="s">
        <v>266</v>
      </c>
      <c r="C217" s="17">
        <v>125000</v>
      </c>
      <c r="D217" s="30"/>
    </row>
    <row r="218" spans="1:4" s="31" customFormat="1" ht="26.25" customHeight="1" x14ac:dyDescent="0.3">
      <c r="A218" s="438" t="s">
        <v>121</v>
      </c>
      <c r="B218" s="439"/>
      <c r="C218" s="34">
        <v>632664</v>
      </c>
    </row>
    <row r="219" spans="1:4" s="31" customFormat="1" ht="14.4" x14ac:dyDescent="0.3">
      <c r="A219" s="438" t="s">
        <v>122</v>
      </c>
      <c r="B219" s="439"/>
      <c r="C219" s="34">
        <v>6814130</v>
      </c>
    </row>
    <row r="220" spans="1:4" s="31" customFormat="1" ht="14.4" x14ac:dyDescent="0.3">
      <c r="A220" s="438" t="s">
        <v>123</v>
      </c>
      <c r="B220" s="439"/>
      <c r="C220" s="34">
        <v>7495543</v>
      </c>
    </row>
    <row r="221" spans="1:4" s="31" customFormat="1" x14ac:dyDescent="0.3">
      <c r="A221" s="5"/>
      <c r="B221" s="33"/>
      <c r="C221" s="32"/>
    </row>
    <row r="222" spans="1:4" s="31" customFormat="1" x14ac:dyDescent="0.3">
      <c r="A222" s="5"/>
      <c r="C222" s="32"/>
    </row>
    <row r="223" spans="1:4" s="31" customFormat="1" x14ac:dyDescent="0.3">
      <c r="A223" s="5"/>
      <c r="B223" s="33"/>
      <c r="C223" s="32"/>
    </row>
    <row r="224" spans="1:4" s="31" customFormat="1" x14ac:dyDescent="0.3">
      <c r="A224" s="5"/>
      <c r="C224" s="32"/>
    </row>
    <row r="225" spans="1:3" s="31" customFormat="1" x14ac:dyDescent="0.3">
      <c r="A225" s="5"/>
      <c r="B225" s="33"/>
      <c r="C225" s="32"/>
    </row>
    <row r="226" spans="1:3" s="31" customFormat="1" x14ac:dyDescent="0.3">
      <c r="A226" s="5"/>
      <c r="C226" s="32"/>
    </row>
    <row r="227" spans="1:3" s="31" customFormat="1" x14ac:dyDescent="0.3">
      <c r="A227" s="5"/>
      <c r="C227" s="32"/>
    </row>
    <row r="228" spans="1:3" s="31" customFormat="1" x14ac:dyDescent="0.3">
      <c r="A228" s="5"/>
      <c r="C228" s="32"/>
    </row>
    <row r="229" spans="1:3" s="31" customFormat="1" x14ac:dyDescent="0.3">
      <c r="A229" s="5"/>
      <c r="C229" s="32"/>
    </row>
    <row r="230" spans="1:3" s="31" customFormat="1" x14ac:dyDescent="0.3">
      <c r="A230" s="5"/>
      <c r="C230" s="32"/>
    </row>
    <row r="231" spans="1:3" s="31" customFormat="1" x14ac:dyDescent="0.3">
      <c r="A231" s="5"/>
      <c r="C231" s="32"/>
    </row>
    <row r="232" spans="1:3" s="31" customFormat="1" x14ac:dyDescent="0.3">
      <c r="A232" s="5"/>
      <c r="C232" s="32"/>
    </row>
    <row r="233" spans="1:3" s="31" customFormat="1" x14ac:dyDescent="0.3">
      <c r="A233" s="5"/>
      <c r="C233" s="32"/>
    </row>
    <row r="234" spans="1:3" s="31" customFormat="1" x14ac:dyDescent="0.3">
      <c r="A234" s="5"/>
      <c r="C234" s="32"/>
    </row>
    <row r="235" spans="1:3" s="31" customFormat="1" x14ac:dyDescent="0.3">
      <c r="A235" s="5"/>
      <c r="C235" s="32"/>
    </row>
    <row r="236" spans="1:3" s="31" customFormat="1" x14ac:dyDescent="0.3">
      <c r="A236" s="5"/>
      <c r="C236" s="32"/>
    </row>
    <row r="237" spans="1:3" s="31" customFormat="1" x14ac:dyDescent="0.3">
      <c r="A237" s="5"/>
      <c r="C237" s="32"/>
    </row>
    <row r="238" spans="1:3" s="31" customFormat="1" x14ac:dyDescent="0.3">
      <c r="A238" s="5"/>
      <c r="C238" s="32"/>
    </row>
    <row r="239" spans="1:3" s="31" customFormat="1" x14ac:dyDescent="0.3">
      <c r="A239" s="5"/>
      <c r="C239" s="32"/>
    </row>
    <row r="240" spans="1:3" s="31" customFormat="1" x14ac:dyDescent="0.3">
      <c r="A240" s="5"/>
      <c r="C240" s="32"/>
    </row>
    <row r="241" spans="1:3" s="31" customFormat="1" x14ac:dyDescent="0.3">
      <c r="A241" s="5"/>
      <c r="C241" s="32"/>
    </row>
    <row r="242" spans="1:3" s="31" customFormat="1" x14ac:dyDescent="0.3">
      <c r="A242" s="5"/>
      <c r="C242" s="32"/>
    </row>
    <row r="243" spans="1:3" s="31" customFormat="1" x14ac:dyDescent="0.3">
      <c r="A243" s="5"/>
      <c r="C243" s="32"/>
    </row>
    <row r="244" spans="1:3" s="31" customFormat="1" x14ac:dyDescent="0.3">
      <c r="A244" s="5"/>
      <c r="C244" s="32"/>
    </row>
    <row r="245" spans="1:3" s="31" customFormat="1" x14ac:dyDescent="0.3">
      <c r="A245" s="5"/>
      <c r="C245" s="32"/>
    </row>
    <row r="246" spans="1:3" s="31" customFormat="1" x14ac:dyDescent="0.3">
      <c r="A246" s="5"/>
      <c r="C246" s="32"/>
    </row>
    <row r="247" spans="1:3" s="31" customFormat="1" x14ac:dyDescent="0.3">
      <c r="A247" s="5"/>
      <c r="C247" s="32"/>
    </row>
    <row r="248" spans="1:3" s="31" customFormat="1" x14ac:dyDescent="0.3">
      <c r="A248" s="5"/>
      <c r="C248" s="32"/>
    </row>
    <row r="249" spans="1:3" s="31" customFormat="1" x14ac:dyDescent="0.3">
      <c r="A249" s="5"/>
      <c r="C249" s="32"/>
    </row>
    <row r="250" spans="1:3" s="31" customFormat="1" x14ac:dyDescent="0.3">
      <c r="A250" s="5"/>
      <c r="C250" s="32"/>
    </row>
    <row r="251" spans="1:3" s="31" customFormat="1" x14ac:dyDescent="0.3">
      <c r="A251" s="5"/>
      <c r="C251" s="32"/>
    </row>
    <row r="252" spans="1:3" s="31" customFormat="1" x14ac:dyDescent="0.3">
      <c r="A252" s="5"/>
      <c r="C252" s="32"/>
    </row>
    <row r="253" spans="1:3" s="31" customFormat="1" x14ac:dyDescent="0.3">
      <c r="A253" s="5"/>
      <c r="C253" s="32"/>
    </row>
    <row r="254" spans="1:3" s="31" customFormat="1" x14ac:dyDescent="0.3">
      <c r="A254" s="5"/>
      <c r="C254" s="32"/>
    </row>
    <row r="255" spans="1:3" s="31" customFormat="1" x14ac:dyDescent="0.3">
      <c r="A255" s="5"/>
      <c r="C255" s="32"/>
    </row>
    <row r="256" spans="1:3" s="31" customFormat="1" x14ac:dyDescent="0.3">
      <c r="A256" s="5"/>
      <c r="C256" s="32"/>
    </row>
    <row r="257" spans="1:3" s="31" customFormat="1" x14ac:dyDescent="0.3">
      <c r="A257" s="5"/>
      <c r="C257" s="32"/>
    </row>
    <row r="258" spans="1:3" s="31" customFormat="1" x14ac:dyDescent="0.3">
      <c r="A258" s="5"/>
      <c r="C258" s="32"/>
    </row>
    <row r="259" spans="1:3" s="31" customFormat="1" x14ac:dyDescent="0.3">
      <c r="A259" s="5"/>
      <c r="C259" s="32"/>
    </row>
    <row r="260" spans="1:3" s="31" customFormat="1" x14ac:dyDescent="0.3">
      <c r="A260" s="5"/>
      <c r="C260" s="32"/>
    </row>
    <row r="261" spans="1:3" s="31" customFormat="1" x14ac:dyDescent="0.3">
      <c r="A261" s="5"/>
      <c r="C261" s="32"/>
    </row>
    <row r="262" spans="1:3" s="31" customFormat="1" x14ac:dyDescent="0.3">
      <c r="A262" s="5"/>
      <c r="C262" s="32"/>
    </row>
    <row r="263" spans="1:3" s="31" customFormat="1" x14ac:dyDescent="0.3">
      <c r="A263" s="5"/>
      <c r="C263" s="32"/>
    </row>
    <row r="264" spans="1:3" s="31" customFormat="1" x14ac:dyDescent="0.3">
      <c r="A264" s="5"/>
      <c r="C264" s="32"/>
    </row>
    <row r="265" spans="1:3" s="31" customFormat="1" x14ac:dyDescent="0.3">
      <c r="A265" s="5"/>
      <c r="C265" s="32"/>
    </row>
    <row r="266" spans="1:3" s="31" customFormat="1" x14ac:dyDescent="0.3">
      <c r="A266" s="5"/>
      <c r="C266" s="32"/>
    </row>
    <row r="267" spans="1:3" s="31" customFormat="1" x14ac:dyDescent="0.3">
      <c r="A267" s="5"/>
      <c r="C267" s="32"/>
    </row>
    <row r="268" spans="1:3" s="31" customFormat="1" x14ac:dyDescent="0.3">
      <c r="A268" s="5"/>
      <c r="C268" s="32"/>
    </row>
    <row r="269" spans="1:3" s="31" customFormat="1" x14ac:dyDescent="0.3">
      <c r="A269" s="5"/>
      <c r="C269" s="32"/>
    </row>
    <row r="270" spans="1:3" s="31" customFormat="1" x14ac:dyDescent="0.3">
      <c r="A270" s="5"/>
      <c r="C270" s="32"/>
    </row>
    <row r="271" spans="1:3" s="31" customFormat="1" x14ac:dyDescent="0.3">
      <c r="A271" s="5"/>
      <c r="C271" s="32"/>
    </row>
    <row r="272" spans="1:3" s="31" customFormat="1" x14ac:dyDescent="0.3">
      <c r="A272" s="5"/>
      <c r="C272" s="32"/>
    </row>
    <row r="273" spans="1:3" s="31" customFormat="1" x14ac:dyDescent="0.3">
      <c r="A273" s="5"/>
      <c r="C273" s="32"/>
    </row>
    <row r="274" spans="1:3" s="31" customFormat="1" x14ac:dyDescent="0.3">
      <c r="A274" s="5"/>
      <c r="C274" s="32"/>
    </row>
    <row r="275" spans="1:3" s="31" customFormat="1" x14ac:dyDescent="0.3">
      <c r="A275" s="5"/>
      <c r="C275" s="32"/>
    </row>
    <row r="276" spans="1:3" s="31" customFormat="1" x14ac:dyDescent="0.3">
      <c r="A276" s="5"/>
      <c r="C276" s="32"/>
    </row>
    <row r="277" spans="1:3" s="31" customFormat="1" x14ac:dyDescent="0.3">
      <c r="A277" s="5"/>
      <c r="C277" s="32"/>
    </row>
    <row r="278" spans="1:3" x14ac:dyDescent="0.25">
      <c r="C278" s="8"/>
    </row>
    <row r="279" spans="1:3" x14ac:dyDescent="0.25">
      <c r="C279" s="8"/>
    </row>
    <row r="280" spans="1:3" x14ac:dyDescent="0.25">
      <c r="C280" s="8"/>
    </row>
    <row r="281" spans="1:3" x14ac:dyDescent="0.25">
      <c r="C281" s="8"/>
    </row>
    <row r="282" spans="1:3" x14ac:dyDescent="0.25">
      <c r="C282" s="8"/>
    </row>
    <row r="283" spans="1:3" x14ac:dyDescent="0.25">
      <c r="C283" s="8"/>
    </row>
    <row r="284" spans="1:3" x14ac:dyDescent="0.25">
      <c r="C284" s="8"/>
    </row>
    <row r="285" spans="1:3" x14ac:dyDescent="0.25">
      <c r="C285" s="8"/>
    </row>
  </sheetData>
  <mergeCells count="14">
    <mergeCell ref="A166:A168"/>
    <mergeCell ref="A169:A216"/>
    <mergeCell ref="A218:B218"/>
    <mergeCell ref="A219:B219"/>
    <mergeCell ref="A220:B220"/>
    <mergeCell ref="B1:D1"/>
    <mergeCell ref="A47:A102"/>
    <mergeCell ref="A103:A165"/>
    <mergeCell ref="A28:A46"/>
    <mergeCell ref="A3:C3"/>
    <mergeCell ref="B4:C4"/>
    <mergeCell ref="A6:A12"/>
    <mergeCell ref="A14:A23"/>
    <mergeCell ref="A24:A2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4"/>
  <sheetViews>
    <sheetView view="pageBreakPreview" zoomScale="90" zoomScaleSheetLayoutView="90" workbookViewId="0">
      <selection activeCell="B37" sqref="B37"/>
    </sheetView>
  </sheetViews>
  <sheetFormatPr defaultColWidth="9.109375" defaultRowHeight="14.4" x14ac:dyDescent="0.3"/>
  <cols>
    <col min="1" max="1" width="5.109375" style="184" customWidth="1"/>
    <col min="2" max="2" width="22.109375" style="184" customWidth="1"/>
    <col min="3" max="3" width="12" style="184" bestFit="1" customWidth="1"/>
    <col min="4" max="4" width="10.33203125" style="184" customWidth="1"/>
    <col min="5" max="5" width="10.109375" style="184" bestFit="1" customWidth="1"/>
    <col min="6" max="6" width="11" style="184" customWidth="1"/>
    <col min="7" max="8" width="10.109375" style="184" bestFit="1" customWidth="1"/>
    <col min="9" max="9" width="9" style="184" customWidth="1"/>
    <col min="10" max="11" width="11.109375" style="184" bestFit="1" customWidth="1"/>
    <col min="12" max="12" width="11.109375" style="184" customWidth="1"/>
    <col min="13" max="14" width="11.109375" style="184" bestFit="1" customWidth="1"/>
    <col min="15" max="15" width="13.33203125" style="184" customWidth="1"/>
    <col min="16" max="16" width="10.88671875" style="184" bestFit="1" customWidth="1"/>
    <col min="17" max="16384" width="9.109375" style="184"/>
  </cols>
  <sheetData>
    <row r="1" spans="1:27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87"/>
      <c r="Y1" s="87"/>
      <c r="Z1" s="296"/>
      <c r="AA1" s="296"/>
    </row>
    <row r="2" spans="1:27" ht="18" x14ac:dyDescent="0.3">
      <c r="A2" s="442" t="s">
        <v>542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53"/>
      <c r="R2" s="53"/>
      <c r="S2" s="53"/>
      <c r="T2" s="53"/>
      <c r="U2" s="53"/>
      <c r="V2" s="53"/>
      <c r="W2" s="53"/>
      <c r="X2" s="87"/>
      <c r="Y2" s="87"/>
      <c r="Z2" s="296"/>
      <c r="AA2" s="296"/>
    </row>
    <row r="3" spans="1:27" x14ac:dyDescent="0.3">
      <c r="A3" s="53"/>
      <c r="B3" s="371"/>
      <c r="C3" s="371"/>
      <c r="D3" s="37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87"/>
      <c r="Y3" s="87"/>
      <c r="Z3" s="296"/>
      <c r="AA3" s="296"/>
    </row>
    <row r="4" spans="1:27" x14ac:dyDescent="0.3">
      <c r="A4" s="53"/>
      <c r="B4" s="371"/>
      <c r="C4" s="371"/>
      <c r="D4" s="37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87"/>
      <c r="Y4" s="87"/>
      <c r="Z4" s="296"/>
      <c r="AA4" s="296"/>
    </row>
    <row r="5" spans="1:27" ht="15" customHeight="1" x14ac:dyDescent="0.3">
      <c r="A5" s="443"/>
      <c r="B5" s="445" t="s">
        <v>499</v>
      </c>
      <c r="C5" s="447" t="s">
        <v>518</v>
      </c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9"/>
      <c r="S5" s="53"/>
      <c r="T5" s="53"/>
      <c r="U5" s="53"/>
      <c r="V5" s="53"/>
      <c r="W5" s="53"/>
      <c r="X5" s="87"/>
      <c r="Y5" s="87"/>
      <c r="Z5" s="296"/>
      <c r="AA5" s="296"/>
    </row>
    <row r="6" spans="1:27" ht="30" customHeight="1" x14ac:dyDescent="0.3">
      <c r="A6" s="444"/>
      <c r="B6" s="446"/>
      <c r="C6" s="302" t="s">
        <v>498</v>
      </c>
      <c r="D6" s="299" t="s">
        <v>497</v>
      </c>
      <c r="E6" s="299" t="s">
        <v>496</v>
      </c>
      <c r="F6" s="299" t="s">
        <v>495</v>
      </c>
      <c r="G6" s="299" t="s">
        <v>494</v>
      </c>
      <c r="H6" s="299" t="s">
        <v>493</v>
      </c>
      <c r="I6" s="299" t="s">
        <v>492</v>
      </c>
      <c r="J6" s="299" t="s">
        <v>181</v>
      </c>
      <c r="K6" s="299" t="s">
        <v>472</v>
      </c>
      <c r="L6" s="350" t="s">
        <v>546</v>
      </c>
      <c r="M6" s="299" t="s">
        <v>491</v>
      </c>
      <c r="N6" s="299" t="s">
        <v>490</v>
      </c>
      <c r="O6" s="299" t="s">
        <v>489</v>
      </c>
      <c r="P6" s="53"/>
      <c r="Q6" s="53"/>
      <c r="R6" s="53"/>
      <c r="S6" s="53"/>
      <c r="T6" s="53"/>
      <c r="U6" s="53"/>
      <c r="V6" s="53"/>
      <c r="W6" s="53"/>
      <c r="X6" s="87"/>
      <c r="Y6" s="87"/>
      <c r="Z6" s="296"/>
      <c r="AA6" s="296"/>
    </row>
    <row r="7" spans="1:27" ht="30" customHeight="1" x14ac:dyDescent="0.3">
      <c r="A7" s="299" t="s">
        <v>500</v>
      </c>
      <c r="B7" s="352" t="s">
        <v>191</v>
      </c>
      <c r="C7" s="356">
        <f t="shared" ref="C7:C14" si="0">SUM(D7:O7)</f>
        <v>900000</v>
      </c>
      <c r="D7" s="354"/>
      <c r="E7" s="354"/>
      <c r="F7" s="354"/>
      <c r="G7" s="354"/>
      <c r="H7" s="354"/>
      <c r="I7" s="354"/>
      <c r="J7" s="376">
        <f>900000</f>
        <v>900000</v>
      </c>
      <c r="K7" s="354"/>
      <c r="L7" s="354"/>
      <c r="M7" s="354"/>
      <c r="N7" s="354"/>
      <c r="O7" s="301"/>
      <c r="P7" s="53"/>
      <c r="Q7" s="53"/>
      <c r="R7" s="53"/>
      <c r="S7" s="53"/>
      <c r="T7" s="53"/>
      <c r="U7" s="53"/>
      <c r="V7" s="53"/>
      <c r="W7" s="53"/>
      <c r="X7" s="87"/>
      <c r="Y7" s="87"/>
      <c r="Z7" s="296"/>
      <c r="AA7" s="296"/>
    </row>
    <row r="8" spans="1:27" ht="30" customHeight="1" x14ac:dyDescent="0.3">
      <c r="A8" s="299" t="s">
        <v>501</v>
      </c>
      <c r="B8" s="352" t="s">
        <v>192</v>
      </c>
      <c r="C8" s="356">
        <f t="shared" si="0"/>
        <v>1385572.12</v>
      </c>
      <c r="D8" s="354"/>
      <c r="E8" s="354"/>
      <c r="F8" s="354"/>
      <c r="G8" s="354"/>
      <c r="H8" s="354"/>
      <c r="I8" s="354"/>
      <c r="J8" s="376">
        <f>158244.31+164527.28+36066.53+500000</f>
        <v>858838.12</v>
      </c>
      <c r="K8" s="354"/>
      <c r="L8" s="354"/>
      <c r="M8" s="354"/>
      <c r="N8" s="354">
        <f>100000+26000+9100+9990+4794+6000+24750+52800+43300+250000</f>
        <v>526734</v>
      </c>
      <c r="O8" s="301"/>
      <c r="P8" s="356">
        <v>350000</v>
      </c>
      <c r="Q8" s="356">
        <v>526000</v>
      </c>
      <c r="R8" s="53"/>
      <c r="S8" s="53"/>
      <c r="T8" s="53"/>
      <c r="U8" s="53"/>
      <c r="V8" s="53"/>
      <c r="W8" s="53"/>
      <c r="X8" s="87"/>
      <c r="Y8" s="87"/>
      <c r="Z8" s="296"/>
      <c r="AA8" s="296"/>
    </row>
    <row r="9" spans="1:27" ht="30" customHeight="1" x14ac:dyDescent="0.3">
      <c r="A9" s="299" t="s">
        <v>502</v>
      </c>
      <c r="B9" s="352" t="s">
        <v>193</v>
      </c>
      <c r="C9" s="356">
        <f t="shared" si="0"/>
        <v>1050000</v>
      </c>
      <c r="D9" s="354"/>
      <c r="E9" s="354"/>
      <c r="F9" s="354"/>
      <c r="G9" s="354"/>
      <c r="H9" s="354"/>
      <c r="I9" s="354"/>
      <c r="J9" s="376">
        <f>100000+900000</f>
        <v>1000000</v>
      </c>
      <c r="K9" s="354">
        <v>50000</v>
      </c>
      <c r="L9" s="354"/>
      <c r="M9" s="354"/>
      <c r="N9" s="354"/>
      <c r="O9" s="301"/>
      <c r="P9" s="53"/>
      <c r="Q9" s="53"/>
      <c r="R9" s="53"/>
      <c r="S9" s="53"/>
      <c r="T9" s="53"/>
      <c r="U9" s="53"/>
      <c r="V9" s="53"/>
      <c r="W9" s="53"/>
      <c r="X9" s="87"/>
      <c r="Y9" s="87"/>
      <c r="Z9" s="296"/>
      <c r="AA9" s="296"/>
    </row>
    <row r="10" spans="1:27" ht="30" customHeight="1" x14ac:dyDescent="0.3">
      <c r="A10" s="299" t="s">
        <v>503</v>
      </c>
      <c r="B10" s="352" t="s">
        <v>194</v>
      </c>
      <c r="C10" s="356">
        <f t="shared" si="0"/>
        <v>800000</v>
      </c>
      <c r="D10" s="354"/>
      <c r="E10" s="354"/>
      <c r="F10" s="354"/>
      <c r="G10" s="354"/>
      <c r="H10" s="354"/>
      <c r="I10" s="354"/>
      <c r="J10" s="376">
        <f>800000</f>
        <v>800000</v>
      </c>
      <c r="K10" s="354"/>
      <c r="L10" s="354"/>
      <c r="M10" s="354"/>
      <c r="N10" s="354"/>
      <c r="O10" s="301"/>
      <c r="P10" s="53"/>
      <c r="Q10" s="53"/>
      <c r="R10" s="53"/>
      <c r="S10" s="53"/>
      <c r="T10" s="53"/>
      <c r="U10" s="53"/>
      <c r="V10" s="53"/>
      <c r="W10" s="53"/>
      <c r="X10" s="87"/>
      <c r="Y10" s="87"/>
      <c r="Z10" s="296"/>
      <c r="AA10" s="296"/>
    </row>
    <row r="11" spans="1:27" ht="30" customHeight="1" x14ac:dyDescent="0.3">
      <c r="A11" s="299" t="s">
        <v>504</v>
      </c>
      <c r="B11" s="352" t="s">
        <v>195</v>
      </c>
      <c r="C11" s="356">
        <f t="shared" si="0"/>
        <v>840000</v>
      </c>
      <c r="D11" s="354"/>
      <c r="E11" s="354"/>
      <c r="F11" s="354"/>
      <c r="G11" s="354"/>
      <c r="H11" s="354"/>
      <c r="I11" s="354"/>
      <c r="J11" s="376">
        <f>800000</f>
        <v>800000</v>
      </c>
      <c r="K11" s="354"/>
      <c r="L11" s="354">
        <v>40000</v>
      </c>
      <c r="M11" s="354"/>
      <c r="N11" s="354"/>
      <c r="O11" s="301"/>
      <c r="P11" s="53"/>
      <c r="Q11" s="53"/>
      <c r="R11" s="53"/>
      <c r="S11" s="53"/>
      <c r="T11" s="53"/>
      <c r="U11" s="53"/>
      <c r="V11" s="53"/>
      <c r="W11" s="53"/>
      <c r="X11" s="87"/>
      <c r="Y11" s="87"/>
      <c r="Z11" s="296"/>
      <c r="AA11" s="296"/>
    </row>
    <row r="12" spans="1:27" ht="30" customHeight="1" x14ac:dyDescent="0.3">
      <c r="A12" s="299" t="s">
        <v>505</v>
      </c>
      <c r="B12" s="352" t="s">
        <v>197</v>
      </c>
      <c r="C12" s="356">
        <f t="shared" si="0"/>
        <v>500000</v>
      </c>
      <c r="D12" s="354"/>
      <c r="E12" s="354"/>
      <c r="F12" s="354"/>
      <c r="G12" s="354"/>
      <c r="H12" s="354"/>
      <c r="I12" s="354"/>
      <c r="J12" s="376">
        <v>500000</v>
      </c>
      <c r="K12" s="354"/>
      <c r="L12" s="354"/>
      <c r="M12" s="354"/>
      <c r="N12" s="354"/>
      <c r="O12" s="301"/>
      <c r="P12" s="53"/>
      <c r="Q12" s="53"/>
      <c r="R12" s="53"/>
      <c r="S12" s="53"/>
      <c r="T12" s="53"/>
      <c r="U12" s="53"/>
      <c r="V12" s="53"/>
      <c r="W12" s="53"/>
      <c r="X12" s="87"/>
      <c r="Y12" s="87"/>
      <c r="Z12" s="296"/>
      <c r="AA12" s="296"/>
    </row>
    <row r="13" spans="1:27" ht="30" customHeight="1" x14ac:dyDescent="0.3">
      <c r="A13" s="299" t="s">
        <v>506</v>
      </c>
      <c r="B13" s="352" t="s">
        <v>198</v>
      </c>
      <c r="C13" s="297">
        <f t="shared" si="0"/>
        <v>560000</v>
      </c>
      <c r="D13" s="301"/>
      <c r="E13" s="301"/>
      <c r="F13" s="301"/>
      <c r="G13" s="301"/>
      <c r="H13" s="301"/>
      <c r="I13" s="301"/>
      <c r="J13" s="376">
        <v>500000</v>
      </c>
      <c r="K13" s="301"/>
      <c r="L13" s="301"/>
      <c r="M13" s="301"/>
      <c r="N13" s="354">
        <v>60000</v>
      </c>
      <c r="O13" s="301"/>
      <c r="P13" s="53"/>
      <c r="Q13" s="53"/>
      <c r="R13" s="53"/>
      <c r="S13" s="53"/>
      <c r="T13" s="53"/>
      <c r="U13" s="53"/>
      <c r="V13" s="53"/>
      <c r="W13" s="53"/>
      <c r="X13" s="87"/>
      <c r="Y13" s="87"/>
      <c r="Z13" s="296"/>
      <c r="AA13" s="296"/>
    </row>
    <row r="14" spans="1:27" ht="30" customHeight="1" x14ac:dyDescent="0.3">
      <c r="A14" s="299" t="s">
        <v>507</v>
      </c>
      <c r="B14" s="299" t="s">
        <v>196</v>
      </c>
      <c r="C14" s="297">
        <f t="shared" si="0"/>
        <v>207200</v>
      </c>
      <c r="D14" s="300"/>
      <c r="E14" s="300"/>
      <c r="F14" s="300"/>
      <c r="G14" s="300"/>
      <c r="H14" s="300"/>
      <c r="I14" s="300"/>
      <c r="J14" s="376">
        <f>62350+100000</f>
        <v>162350</v>
      </c>
      <c r="K14" s="300"/>
      <c r="L14" s="300"/>
      <c r="M14" s="300"/>
      <c r="N14" s="354">
        <f>29240+3190+12420</f>
        <v>44850</v>
      </c>
      <c r="O14" s="300"/>
      <c r="P14" s="353">
        <v>47350</v>
      </c>
      <c r="Q14" s="53"/>
      <c r="R14" s="53"/>
      <c r="S14" s="53"/>
      <c r="T14" s="53"/>
      <c r="U14" s="53"/>
      <c r="V14" s="53"/>
      <c r="W14" s="53"/>
      <c r="X14" s="87"/>
      <c r="Y14" s="87"/>
      <c r="Z14" s="296"/>
      <c r="AA14" s="296"/>
    </row>
    <row r="15" spans="1:27" ht="30" customHeight="1" x14ac:dyDescent="0.3">
      <c r="A15" s="298"/>
      <c r="B15" s="62" t="s">
        <v>488</v>
      </c>
      <c r="C15" s="297">
        <f t="shared" ref="C15:O15" si="1">SUM(C7:C14)</f>
        <v>6242772.1200000001</v>
      </c>
      <c r="D15" s="297">
        <f t="shared" si="1"/>
        <v>0</v>
      </c>
      <c r="E15" s="297">
        <f t="shared" si="1"/>
        <v>0</v>
      </c>
      <c r="F15" s="297">
        <f t="shared" si="1"/>
        <v>0</v>
      </c>
      <c r="G15" s="297">
        <f t="shared" si="1"/>
        <v>0</v>
      </c>
      <c r="H15" s="297">
        <f t="shared" si="1"/>
        <v>0</v>
      </c>
      <c r="I15" s="297">
        <f t="shared" si="1"/>
        <v>0</v>
      </c>
      <c r="J15" s="377">
        <f t="shared" si="1"/>
        <v>5521188.1200000001</v>
      </c>
      <c r="K15" s="297">
        <f t="shared" si="1"/>
        <v>50000</v>
      </c>
      <c r="L15" s="297"/>
      <c r="M15" s="297">
        <f t="shared" si="1"/>
        <v>0</v>
      </c>
      <c r="N15" s="297">
        <f t="shared" si="1"/>
        <v>631584</v>
      </c>
      <c r="O15" s="297">
        <f t="shared" si="1"/>
        <v>0</v>
      </c>
      <c r="P15" s="160">
        <f>SUM(D15:O15)</f>
        <v>6202772.1200000001</v>
      </c>
      <c r="Q15" s="160">
        <f>P15-C15</f>
        <v>-40000</v>
      </c>
      <c r="R15" s="53"/>
      <c r="S15" s="53"/>
      <c r="T15" s="53"/>
      <c r="U15" s="53"/>
      <c r="V15" s="53"/>
      <c r="W15" s="53"/>
      <c r="X15" s="87"/>
      <c r="Y15" s="87"/>
      <c r="Z15" s="296"/>
      <c r="AA15" s="296"/>
    </row>
    <row r="16" spans="1:27" x14ac:dyDescent="0.3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60"/>
      <c r="Q16" s="53"/>
      <c r="R16" s="53"/>
      <c r="S16" s="53"/>
      <c r="T16" s="53"/>
      <c r="U16" s="53"/>
      <c r="V16" s="53"/>
      <c r="W16" s="53"/>
      <c r="X16" s="87"/>
      <c r="Y16" s="87"/>
      <c r="Z16" s="296"/>
      <c r="AA16" s="296"/>
    </row>
    <row r="17" spans="1:27" x14ac:dyDescent="0.3">
      <c r="A17" s="53"/>
      <c r="B17" s="53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53"/>
      <c r="Q17" s="53"/>
      <c r="R17" s="53"/>
      <c r="S17" s="53"/>
      <c r="T17" s="53"/>
      <c r="U17" s="53"/>
      <c r="V17" s="53"/>
      <c r="W17" s="53"/>
      <c r="X17" s="87"/>
      <c r="Y17" s="87"/>
      <c r="Z17" s="296"/>
      <c r="AA17" s="296"/>
    </row>
    <row r="18" spans="1:27" x14ac:dyDescent="0.3">
      <c r="A18" s="53"/>
      <c r="B18" s="53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53"/>
      <c r="Q18" s="53"/>
      <c r="R18" s="53"/>
      <c r="S18" s="53"/>
      <c r="T18" s="53"/>
      <c r="U18" s="53"/>
      <c r="V18" s="53"/>
      <c r="W18" s="53"/>
      <c r="X18" s="87"/>
      <c r="Y18" s="87"/>
      <c r="Z18" s="296"/>
      <c r="AA18" s="296"/>
    </row>
    <row r="19" spans="1:27" x14ac:dyDescent="0.3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87"/>
      <c r="Y19" s="87"/>
      <c r="Z19" s="296"/>
      <c r="AA19" s="296"/>
    </row>
    <row r="20" spans="1:27" x14ac:dyDescent="0.3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87"/>
      <c r="Y20" s="87"/>
      <c r="Z20" s="296"/>
      <c r="AA20" s="296"/>
    </row>
    <row r="21" spans="1:27" x14ac:dyDescent="0.3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87"/>
      <c r="Y21" s="87"/>
      <c r="Z21" s="296"/>
      <c r="AA21" s="296"/>
    </row>
    <row r="22" spans="1:27" x14ac:dyDescent="0.3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87"/>
      <c r="Y22" s="87"/>
      <c r="Z22" s="296"/>
      <c r="AA22" s="296"/>
    </row>
    <row r="23" spans="1:27" x14ac:dyDescent="0.3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87"/>
      <c r="Y23" s="87"/>
      <c r="Z23" s="296"/>
      <c r="AA23" s="296"/>
    </row>
    <row r="24" spans="1:27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87"/>
      <c r="Y24" s="87"/>
      <c r="Z24" s="296"/>
      <c r="AA24" s="296"/>
    </row>
    <row r="25" spans="1:27" x14ac:dyDescent="0.3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87"/>
      <c r="Y25" s="87"/>
      <c r="Z25" s="296"/>
      <c r="AA25" s="296"/>
    </row>
    <row r="26" spans="1:27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87"/>
      <c r="Y26" s="87"/>
      <c r="Z26" s="296"/>
      <c r="AA26" s="296"/>
    </row>
    <row r="27" spans="1:27" x14ac:dyDescent="0.3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87"/>
      <c r="Y27" s="87"/>
      <c r="Z27" s="296"/>
      <c r="AA27" s="296"/>
    </row>
    <row r="28" spans="1:27" x14ac:dyDescent="0.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87"/>
      <c r="Y28" s="87"/>
      <c r="Z28" s="296"/>
      <c r="AA28" s="296"/>
    </row>
    <row r="29" spans="1:27" x14ac:dyDescent="0.3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87"/>
      <c r="Y29" s="87"/>
      <c r="Z29" s="296"/>
      <c r="AA29" s="296"/>
    </row>
    <row r="30" spans="1:27" x14ac:dyDescent="0.3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87"/>
      <c r="Y30" s="87"/>
      <c r="Z30" s="296"/>
      <c r="AA30" s="296"/>
    </row>
    <row r="31" spans="1:27" x14ac:dyDescent="0.3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87"/>
      <c r="Y31" s="87"/>
      <c r="Z31" s="296"/>
      <c r="AA31" s="296"/>
    </row>
    <row r="32" spans="1:27" x14ac:dyDescent="0.3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87"/>
      <c r="Y32" s="87"/>
      <c r="Z32" s="296"/>
      <c r="AA32" s="296"/>
    </row>
    <row r="33" spans="1:27" x14ac:dyDescent="0.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87"/>
      <c r="Y33" s="87"/>
      <c r="Z33" s="296"/>
      <c r="AA33" s="296"/>
    </row>
    <row r="34" spans="1:27" x14ac:dyDescent="0.3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87"/>
      <c r="Y34" s="87"/>
      <c r="Z34" s="296"/>
      <c r="AA34" s="296"/>
    </row>
    <row r="35" spans="1:27" x14ac:dyDescent="0.3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87"/>
      <c r="Y35" s="87"/>
      <c r="Z35" s="296"/>
      <c r="AA35" s="296"/>
    </row>
    <row r="36" spans="1:27" x14ac:dyDescent="0.3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87"/>
      <c r="Y36" s="87"/>
      <c r="Z36" s="296"/>
      <c r="AA36" s="296"/>
    </row>
    <row r="37" spans="1:27" x14ac:dyDescent="0.3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87"/>
      <c r="Y37" s="87"/>
      <c r="Z37" s="296"/>
      <c r="AA37" s="296"/>
    </row>
    <row r="38" spans="1:27" x14ac:dyDescent="0.3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87"/>
      <c r="Y38" s="87"/>
      <c r="Z38" s="296"/>
      <c r="AA38" s="296"/>
    </row>
    <row r="39" spans="1:27" x14ac:dyDescent="0.3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87"/>
      <c r="Y39" s="87"/>
      <c r="Z39" s="296"/>
      <c r="AA39" s="296"/>
    </row>
    <row r="40" spans="1:27" x14ac:dyDescent="0.3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87"/>
      <c r="Y40" s="87"/>
      <c r="Z40" s="296"/>
      <c r="AA40" s="296"/>
    </row>
    <row r="41" spans="1:27" x14ac:dyDescent="0.3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87"/>
      <c r="Y41" s="87"/>
      <c r="Z41" s="296"/>
      <c r="AA41" s="296"/>
    </row>
    <row r="42" spans="1:27" x14ac:dyDescent="0.3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87"/>
      <c r="Y42" s="87"/>
      <c r="Z42" s="296"/>
      <c r="AA42" s="296"/>
    </row>
    <row r="43" spans="1:27" x14ac:dyDescent="0.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87"/>
      <c r="Y43" s="87"/>
      <c r="Z43" s="296"/>
      <c r="AA43" s="296"/>
    </row>
    <row r="44" spans="1:27" x14ac:dyDescent="0.3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87"/>
      <c r="Y44" s="87"/>
      <c r="Z44" s="296"/>
      <c r="AA44" s="296"/>
    </row>
    <row r="45" spans="1:27" x14ac:dyDescent="0.3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87"/>
      <c r="Y45" s="87"/>
      <c r="Z45" s="296"/>
      <c r="AA45" s="296"/>
    </row>
    <row r="46" spans="1:27" x14ac:dyDescent="0.3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87"/>
      <c r="Y46" s="87"/>
      <c r="Z46" s="296"/>
      <c r="AA46" s="296"/>
    </row>
    <row r="47" spans="1:27" x14ac:dyDescent="0.3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87"/>
      <c r="Y47" s="87"/>
      <c r="Z47" s="296"/>
      <c r="AA47" s="296"/>
    </row>
    <row r="48" spans="1:27" x14ac:dyDescent="0.3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87"/>
      <c r="Y48" s="87"/>
      <c r="Z48" s="296"/>
      <c r="AA48" s="296"/>
    </row>
    <row r="49" spans="1:27" x14ac:dyDescent="0.3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87"/>
      <c r="Y49" s="87"/>
      <c r="Z49" s="296"/>
      <c r="AA49" s="296"/>
    </row>
    <row r="50" spans="1:27" x14ac:dyDescent="0.3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87"/>
      <c r="Y50" s="87"/>
      <c r="Z50" s="296"/>
      <c r="AA50" s="296"/>
    </row>
    <row r="51" spans="1:27" x14ac:dyDescent="0.3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87"/>
      <c r="Y51" s="87"/>
      <c r="Z51" s="296"/>
      <c r="AA51" s="296"/>
    </row>
    <row r="52" spans="1:27" x14ac:dyDescent="0.3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87"/>
      <c r="Y52" s="87"/>
      <c r="Z52" s="296"/>
      <c r="AA52" s="296"/>
    </row>
    <row r="53" spans="1:27" x14ac:dyDescent="0.3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87"/>
      <c r="Y53" s="87"/>
      <c r="Z53" s="296"/>
      <c r="AA53" s="296"/>
    </row>
    <row r="54" spans="1:27" x14ac:dyDescent="0.3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87"/>
      <c r="Y54" s="87"/>
      <c r="Z54" s="296"/>
      <c r="AA54" s="296"/>
    </row>
    <row r="55" spans="1:27" x14ac:dyDescent="0.3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87"/>
      <c r="Y55" s="87"/>
      <c r="Z55" s="296"/>
      <c r="AA55" s="296"/>
    </row>
    <row r="56" spans="1:27" x14ac:dyDescent="0.3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87"/>
      <c r="Y56" s="87"/>
      <c r="Z56" s="296"/>
      <c r="AA56" s="296"/>
    </row>
    <row r="57" spans="1:27" x14ac:dyDescent="0.3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87"/>
      <c r="Y57" s="87"/>
      <c r="Z57" s="296"/>
      <c r="AA57" s="296"/>
    </row>
    <row r="58" spans="1:27" x14ac:dyDescent="0.3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87"/>
      <c r="Y58" s="87"/>
      <c r="Z58" s="296"/>
      <c r="AA58" s="296"/>
    </row>
    <row r="59" spans="1:27" x14ac:dyDescent="0.3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87"/>
      <c r="Y59" s="87"/>
      <c r="Z59" s="296"/>
      <c r="AA59" s="296"/>
    </row>
    <row r="60" spans="1:27" x14ac:dyDescent="0.3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87"/>
      <c r="Y60" s="87"/>
      <c r="Z60" s="296"/>
      <c r="AA60" s="296"/>
    </row>
    <row r="61" spans="1:27" x14ac:dyDescent="0.3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87"/>
      <c r="Y61" s="87"/>
      <c r="Z61" s="296"/>
      <c r="AA61" s="296"/>
    </row>
    <row r="62" spans="1:27" x14ac:dyDescent="0.3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87"/>
      <c r="Y62" s="87"/>
      <c r="Z62" s="296"/>
      <c r="AA62" s="296"/>
    </row>
    <row r="63" spans="1:27" x14ac:dyDescent="0.3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87"/>
      <c r="Y63" s="87"/>
      <c r="Z63" s="296"/>
      <c r="AA63" s="296"/>
    </row>
    <row r="64" spans="1:27" x14ac:dyDescent="0.3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87"/>
      <c r="Y64" s="87"/>
      <c r="Z64" s="296"/>
      <c r="AA64" s="296"/>
    </row>
    <row r="65" spans="1:27" x14ac:dyDescent="0.3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87"/>
      <c r="Y65" s="87"/>
      <c r="Z65" s="296"/>
      <c r="AA65" s="296"/>
    </row>
    <row r="66" spans="1:27" x14ac:dyDescent="0.3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87"/>
      <c r="Y66" s="87"/>
      <c r="Z66" s="296"/>
      <c r="AA66" s="296"/>
    </row>
    <row r="67" spans="1:27" x14ac:dyDescent="0.3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87"/>
      <c r="Y67" s="87"/>
      <c r="Z67" s="296"/>
      <c r="AA67" s="296"/>
    </row>
    <row r="68" spans="1:27" x14ac:dyDescent="0.3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87"/>
      <c r="Y68" s="87"/>
      <c r="Z68" s="296"/>
      <c r="AA68" s="296"/>
    </row>
    <row r="69" spans="1:27" x14ac:dyDescent="0.3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87"/>
      <c r="Y69" s="87"/>
      <c r="Z69" s="296"/>
      <c r="AA69" s="296"/>
    </row>
    <row r="70" spans="1:27" x14ac:dyDescent="0.3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87"/>
      <c r="Y70" s="87"/>
      <c r="Z70" s="296"/>
      <c r="AA70" s="296"/>
    </row>
    <row r="71" spans="1:27" x14ac:dyDescent="0.3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87"/>
      <c r="Y71" s="87"/>
      <c r="Z71" s="296"/>
      <c r="AA71" s="296"/>
    </row>
    <row r="72" spans="1:27" x14ac:dyDescent="0.3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87"/>
      <c r="Y72" s="87"/>
      <c r="Z72" s="296"/>
      <c r="AA72" s="296"/>
    </row>
    <row r="73" spans="1:27" x14ac:dyDescent="0.3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87"/>
      <c r="Y73" s="87"/>
      <c r="Z73" s="296"/>
      <c r="AA73" s="296"/>
    </row>
    <row r="74" spans="1:27" x14ac:dyDescent="0.3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87"/>
      <c r="Y74" s="87"/>
      <c r="Z74" s="296"/>
      <c r="AA74" s="296"/>
    </row>
    <row r="75" spans="1:27" x14ac:dyDescent="0.3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87"/>
      <c r="Y75" s="87"/>
      <c r="Z75" s="296"/>
      <c r="AA75" s="296"/>
    </row>
    <row r="76" spans="1:27" x14ac:dyDescent="0.3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87"/>
      <c r="Y76" s="87"/>
      <c r="Z76" s="296"/>
      <c r="AA76" s="296"/>
    </row>
    <row r="77" spans="1:27" x14ac:dyDescent="0.3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87"/>
      <c r="Y77" s="87"/>
      <c r="Z77" s="296"/>
      <c r="AA77" s="296"/>
    </row>
    <row r="78" spans="1:27" x14ac:dyDescent="0.3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87"/>
      <c r="Y78" s="87"/>
      <c r="Z78" s="296"/>
      <c r="AA78" s="296"/>
    </row>
    <row r="79" spans="1:27" x14ac:dyDescent="0.3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87"/>
      <c r="Y79" s="87"/>
      <c r="Z79" s="296"/>
      <c r="AA79" s="296"/>
    </row>
    <row r="80" spans="1:27" x14ac:dyDescent="0.3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87"/>
      <c r="Y80" s="87"/>
      <c r="Z80" s="296"/>
      <c r="AA80" s="296"/>
    </row>
    <row r="81" spans="1:27" x14ac:dyDescent="0.3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87"/>
      <c r="Y81" s="87"/>
      <c r="Z81" s="296"/>
      <c r="AA81" s="296"/>
    </row>
    <row r="82" spans="1:27" x14ac:dyDescent="0.3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87"/>
      <c r="Y82" s="87"/>
      <c r="Z82" s="296"/>
      <c r="AA82" s="296"/>
    </row>
    <row r="83" spans="1:27" x14ac:dyDescent="0.3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87"/>
      <c r="Y83" s="87"/>
      <c r="Z83" s="296"/>
      <c r="AA83" s="296"/>
    </row>
    <row r="84" spans="1:27" x14ac:dyDescent="0.3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87"/>
      <c r="Y84" s="87"/>
      <c r="Z84" s="296"/>
      <c r="AA84" s="296"/>
    </row>
    <row r="85" spans="1:27" x14ac:dyDescent="0.3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87"/>
      <c r="Y85" s="87"/>
      <c r="Z85" s="296"/>
      <c r="AA85" s="296"/>
    </row>
    <row r="86" spans="1:27" x14ac:dyDescent="0.3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87"/>
      <c r="Y86" s="87"/>
      <c r="Z86" s="296"/>
      <c r="AA86" s="296"/>
    </row>
    <row r="87" spans="1:27" x14ac:dyDescent="0.3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87"/>
      <c r="Y87" s="87"/>
      <c r="Z87" s="296"/>
      <c r="AA87" s="296"/>
    </row>
    <row r="88" spans="1:27" x14ac:dyDescent="0.3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87"/>
      <c r="Y88" s="87"/>
      <c r="Z88" s="296"/>
      <c r="AA88" s="296"/>
    </row>
    <row r="89" spans="1:27" x14ac:dyDescent="0.3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87"/>
      <c r="Y89" s="87"/>
      <c r="Z89" s="296"/>
      <c r="AA89" s="296"/>
    </row>
    <row r="90" spans="1:27" x14ac:dyDescent="0.3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87"/>
      <c r="Y90" s="87"/>
      <c r="Z90" s="296"/>
      <c r="AA90" s="296"/>
    </row>
    <row r="91" spans="1:27" x14ac:dyDescent="0.3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87"/>
      <c r="Y91" s="87"/>
      <c r="Z91" s="296"/>
      <c r="AA91" s="296"/>
    </row>
    <row r="92" spans="1:27" x14ac:dyDescent="0.3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87"/>
      <c r="Y92" s="87"/>
      <c r="Z92" s="296"/>
      <c r="AA92" s="296"/>
    </row>
    <row r="93" spans="1:27" x14ac:dyDescent="0.3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87"/>
      <c r="Y93" s="87"/>
      <c r="Z93" s="296"/>
      <c r="AA93" s="296"/>
    </row>
    <row r="94" spans="1:27" x14ac:dyDescent="0.3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87"/>
      <c r="Y94" s="87"/>
      <c r="Z94" s="296"/>
      <c r="AA94" s="296"/>
    </row>
    <row r="95" spans="1:27" x14ac:dyDescent="0.3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87"/>
      <c r="Y95" s="87"/>
      <c r="Z95" s="296"/>
      <c r="AA95" s="296"/>
    </row>
    <row r="96" spans="1:27" x14ac:dyDescent="0.3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87"/>
      <c r="Y96" s="87"/>
      <c r="Z96" s="296"/>
      <c r="AA96" s="296"/>
    </row>
    <row r="97" spans="1:27" x14ac:dyDescent="0.3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87"/>
      <c r="Y97" s="87"/>
      <c r="Z97" s="296"/>
      <c r="AA97" s="296"/>
    </row>
    <row r="98" spans="1:27" x14ac:dyDescent="0.3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87"/>
      <c r="Y98" s="87"/>
      <c r="Z98" s="296"/>
      <c r="AA98" s="296"/>
    </row>
    <row r="99" spans="1:27" x14ac:dyDescent="0.3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87"/>
      <c r="Y99" s="87"/>
      <c r="Z99" s="296"/>
      <c r="AA99" s="296"/>
    </row>
    <row r="100" spans="1:27" x14ac:dyDescent="0.3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87"/>
      <c r="Y100" s="87"/>
      <c r="Z100" s="296"/>
      <c r="AA100" s="296"/>
    </row>
    <row r="101" spans="1:27" x14ac:dyDescent="0.3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87"/>
      <c r="Y101" s="87"/>
      <c r="Z101" s="296"/>
      <c r="AA101" s="296"/>
    </row>
    <row r="102" spans="1:27" x14ac:dyDescent="0.3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87"/>
      <c r="Y102" s="87"/>
      <c r="Z102" s="296"/>
      <c r="AA102" s="296"/>
    </row>
    <row r="103" spans="1:27" x14ac:dyDescent="0.3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87"/>
      <c r="Y103" s="87"/>
      <c r="Z103" s="296"/>
      <c r="AA103" s="296"/>
    </row>
    <row r="104" spans="1:27" x14ac:dyDescent="0.3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87"/>
      <c r="Y104" s="87"/>
      <c r="Z104" s="296"/>
      <c r="AA104" s="296"/>
    </row>
    <row r="105" spans="1:27" x14ac:dyDescent="0.3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296"/>
      <c r="AA105" s="296"/>
    </row>
    <row r="106" spans="1:27" x14ac:dyDescent="0.3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296"/>
      <c r="AA106" s="296"/>
    </row>
    <row r="107" spans="1:27" x14ac:dyDescent="0.3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296"/>
      <c r="AA107" s="296"/>
    </row>
    <row r="108" spans="1:27" x14ac:dyDescent="0.3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296"/>
      <c r="AA108" s="296"/>
    </row>
    <row r="109" spans="1:27" x14ac:dyDescent="0.3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296"/>
      <c r="AA109" s="296"/>
    </row>
    <row r="110" spans="1:27" x14ac:dyDescent="0.3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296"/>
      <c r="AA110" s="296"/>
    </row>
    <row r="111" spans="1:27" x14ac:dyDescent="0.3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296"/>
      <c r="AA111" s="296"/>
    </row>
    <row r="112" spans="1:27" x14ac:dyDescent="0.3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296"/>
      <c r="AA112" s="296"/>
    </row>
    <row r="113" spans="1:27" x14ac:dyDescent="0.3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296"/>
      <c r="AA113" s="296"/>
    </row>
    <row r="114" spans="1:27" x14ac:dyDescent="0.3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296"/>
      <c r="AA114" s="296"/>
    </row>
    <row r="115" spans="1:27" x14ac:dyDescent="0.3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296"/>
      <c r="AA115" s="296"/>
    </row>
    <row r="116" spans="1:27" x14ac:dyDescent="0.3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296"/>
      <c r="AA116" s="296"/>
    </row>
    <row r="117" spans="1:27" x14ac:dyDescent="0.3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296"/>
      <c r="AA117" s="296"/>
    </row>
    <row r="118" spans="1:27" x14ac:dyDescent="0.3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296"/>
      <c r="AA118" s="296"/>
    </row>
    <row r="119" spans="1:27" x14ac:dyDescent="0.3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296"/>
      <c r="AA119" s="296"/>
    </row>
    <row r="120" spans="1:27" x14ac:dyDescent="0.3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296"/>
      <c r="AA120" s="296"/>
    </row>
    <row r="121" spans="1:27" x14ac:dyDescent="0.3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296"/>
      <c r="AA121" s="296"/>
    </row>
    <row r="122" spans="1:27" x14ac:dyDescent="0.3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296"/>
      <c r="AA122" s="296"/>
    </row>
    <row r="123" spans="1:27" x14ac:dyDescent="0.3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296"/>
      <c r="AA123" s="296"/>
    </row>
    <row r="124" spans="1:27" x14ac:dyDescent="0.3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296"/>
      <c r="AA124" s="296"/>
    </row>
    <row r="125" spans="1:27" x14ac:dyDescent="0.3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296"/>
      <c r="AA125" s="296"/>
    </row>
    <row r="126" spans="1:27" x14ac:dyDescent="0.3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296"/>
      <c r="AA126" s="296"/>
    </row>
    <row r="127" spans="1:27" x14ac:dyDescent="0.3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296"/>
      <c r="AA127" s="296"/>
    </row>
    <row r="128" spans="1:27" x14ac:dyDescent="0.3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296"/>
      <c r="AA128" s="296"/>
    </row>
    <row r="129" spans="1:27" x14ac:dyDescent="0.3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296"/>
      <c r="AA129" s="296"/>
    </row>
    <row r="130" spans="1:27" x14ac:dyDescent="0.3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296"/>
      <c r="AA130" s="296"/>
    </row>
    <row r="131" spans="1:27" x14ac:dyDescent="0.3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296"/>
      <c r="AA131" s="296"/>
    </row>
    <row r="132" spans="1:27" x14ac:dyDescent="0.3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296"/>
      <c r="AA132" s="296"/>
    </row>
    <row r="133" spans="1:27" x14ac:dyDescent="0.3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296"/>
      <c r="AA133" s="296"/>
    </row>
    <row r="134" spans="1:27" x14ac:dyDescent="0.3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296"/>
      <c r="AA134" s="296"/>
    </row>
    <row r="135" spans="1:27" x14ac:dyDescent="0.3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296"/>
      <c r="AA135" s="296"/>
    </row>
    <row r="136" spans="1:27" x14ac:dyDescent="0.3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296"/>
      <c r="AA136" s="296"/>
    </row>
    <row r="137" spans="1:27" x14ac:dyDescent="0.3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296"/>
      <c r="AA137" s="296"/>
    </row>
    <row r="138" spans="1:27" x14ac:dyDescent="0.3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296"/>
      <c r="AA138" s="296"/>
    </row>
    <row r="139" spans="1:27" x14ac:dyDescent="0.3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296"/>
      <c r="AA139" s="296"/>
    </row>
    <row r="140" spans="1:27" x14ac:dyDescent="0.3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296"/>
      <c r="AA140" s="296"/>
    </row>
    <row r="141" spans="1:27" x14ac:dyDescent="0.3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296"/>
      <c r="AA141" s="296"/>
    </row>
    <row r="142" spans="1:27" x14ac:dyDescent="0.3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296"/>
      <c r="AA142" s="296"/>
    </row>
    <row r="143" spans="1:27" x14ac:dyDescent="0.3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296"/>
      <c r="AA143" s="296"/>
    </row>
    <row r="144" spans="1:27" x14ac:dyDescent="0.3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296"/>
      <c r="AA144" s="296"/>
    </row>
    <row r="145" spans="1:27" x14ac:dyDescent="0.3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296"/>
      <c r="AA145" s="296"/>
    </row>
    <row r="146" spans="1:27" x14ac:dyDescent="0.3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296"/>
      <c r="AA146" s="296"/>
    </row>
    <row r="147" spans="1:27" x14ac:dyDescent="0.3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296"/>
      <c r="AA147" s="296"/>
    </row>
    <row r="148" spans="1:27" x14ac:dyDescent="0.3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296"/>
      <c r="AA148" s="296"/>
    </row>
    <row r="149" spans="1:27" x14ac:dyDescent="0.3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296"/>
      <c r="AA149" s="296"/>
    </row>
    <row r="150" spans="1:27" x14ac:dyDescent="0.3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296"/>
      <c r="AA150" s="296"/>
    </row>
    <row r="151" spans="1:27" x14ac:dyDescent="0.3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296"/>
      <c r="AA151" s="296"/>
    </row>
    <row r="152" spans="1:27" x14ac:dyDescent="0.3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296"/>
      <c r="AA152" s="296"/>
    </row>
    <row r="153" spans="1:27" x14ac:dyDescent="0.3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296"/>
      <c r="AA153" s="296"/>
    </row>
    <row r="154" spans="1:27" x14ac:dyDescent="0.3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296"/>
      <c r="AA154" s="296"/>
    </row>
    <row r="155" spans="1:27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7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7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7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7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7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</sheetData>
  <mergeCells count="4">
    <mergeCell ref="A2:P2"/>
    <mergeCell ref="A5:A6"/>
    <mergeCell ref="B5:B6"/>
    <mergeCell ref="C5:R5"/>
  </mergeCells>
  <conditionalFormatting sqref="C18:O18">
    <cfRule type="cellIs" dxfId="74" priority="4" operator="lessThan">
      <formula>0</formula>
    </cfRule>
    <cfRule type="cellIs" dxfId="73" priority="5" operator="greaterThan">
      <formula>0</formula>
    </cfRule>
    <cfRule type="cellIs" dxfId="72" priority="6" operator="equal">
      <formula>0</formula>
    </cfRule>
  </conditionalFormatting>
  <conditionalFormatting sqref="Q15">
    <cfRule type="cellIs" dxfId="71" priority="1" operator="lessThan">
      <formula>0</formula>
    </cfRule>
    <cfRule type="cellIs" dxfId="70" priority="2" operator="greaterThan">
      <formula>0</formula>
    </cfRule>
    <cfRule type="cellIs" dxfId="69" priority="3" operator="equal">
      <formula>0</formula>
    </cfRule>
  </conditionalFormatting>
  <pageMargins left="0.39370078740157483" right="0.19685039370078741" top="0.74803149606299213" bottom="0.74803149606299213" header="0.31496062992125984" footer="0.31496062992125984"/>
  <pageSetup paperSize="9" scale="83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92"/>
  <sheetViews>
    <sheetView view="pageBreakPreview" topLeftCell="A186" zoomScale="90" zoomScaleSheetLayoutView="90" workbookViewId="0">
      <selection activeCell="D218" sqref="D218"/>
    </sheetView>
  </sheetViews>
  <sheetFormatPr defaultColWidth="9.109375" defaultRowHeight="13.8" x14ac:dyDescent="0.25"/>
  <cols>
    <col min="1" max="1" width="5" style="5" customWidth="1"/>
    <col min="2" max="2" width="30.109375" style="1" customWidth="1"/>
    <col min="3" max="3" width="41" style="3" customWidth="1"/>
    <col min="4" max="4" width="14.88671875" style="1" customWidth="1"/>
    <col min="5" max="16384" width="9.109375" style="1"/>
  </cols>
  <sheetData>
    <row r="1" spans="1:4" ht="55.5" customHeight="1" x14ac:dyDescent="0.25">
      <c r="B1" s="470" t="s">
        <v>124</v>
      </c>
      <c r="C1" s="470"/>
      <c r="D1" s="470"/>
    </row>
    <row r="2" spans="1:4" x14ac:dyDescent="0.25">
      <c r="C2" s="4" t="s">
        <v>95</v>
      </c>
    </row>
    <row r="3" spans="1:4" ht="17.25" customHeight="1" x14ac:dyDescent="0.25">
      <c r="A3" s="437" t="s">
        <v>97</v>
      </c>
      <c r="B3" s="437"/>
      <c r="C3" s="437"/>
    </row>
    <row r="4" spans="1:4" ht="17.25" customHeight="1" x14ac:dyDescent="0.25">
      <c r="A4" s="7"/>
      <c r="B4" s="441" t="s">
        <v>98</v>
      </c>
      <c r="C4" s="441"/>
    </row>
    <row r="5" spans="1:4" s="2" customFormat="1" ht="27" customHeight="1" x14ac:dyDescent="0.25">
      <c r="A5" s="177"/>
      <c r="B5" s="6"/>
      <c r="C5" s="177" t="s">
        <v>99</v>
      </c>
    </row>
    <row r="6" spans="1:4" s="13" customFormat="1" ht="12" x14ac:dyDescent="0.3">
      <c r="A6" s="440">
        <v>211</v>
      </c>
      <c r="B6" s="11" t="s">
        <v>279</v>
      </c>
      <c r="C6" s="12">
        <v>1875</v>
      </c>
    </row>
    <row r="7" spans="1:4" s="13" customFormat="1" ht="12" x14ac:dyDescent="0.3">
      <c r="A7" s="440"/>
      <c r="B7" s="14" t="s">
        <v>55</v>
      </c>
      <c r="C7" s="15">
        <v>0.25</v>
      </c>
    </row>
    <row r="8" spans="1:4" s="13" customFormat="1" ht="12" x14ac:dyDescent="0.3">
      <c r="A8" s="440"/>
      <c r="B8" s="14" t="s">
        <v>56</v>
      </c>
      <c r="C8" s="15">
        <v>1875</v>
      </c>
    </row>
    <row r="9" spans="1:4" s="13" customFormat="1" ht="12" x14ac:dyDescent="0.3">
      <c r="A9" s="440"/>
      <c r="B9" s="11" t="s">
        <v>57</v>
      </c>
      <c r="C9" s="12">
        <v>131296</v>
      </c>
    </row>
    <row r="10" spans="1:4" s="13" customFormat="1" ht="12" x14ac:dyDescent="0.3">
      <c r="A10" s="440"/>
      <c r="B10" s="14" t="s">
        <v>55</v>
      </c>
      <c r="C10" s="15">
        <v>17.149999999999999</v>
      </c>
    </row>
    <row r="11" spans="1:4" s="13" customFormat="1" ht="12" x14ac:dyDescent="0.3">
      <c r="A11" s="440"/>
      <c r="B11" s="14" t="s">
        <v>56</v>
      </c>
      <c r="C11" s="15">
        <v>131296</v>
      </c>
    </row>
    <row r="12" spans="1:4" s="13" customFormat="1" ht="17.25" customHeight="1" x14ac:dyDescent="0.3">
      <c r="A12" s="440"/>
      <c r="B12" s="16" t="s">
        <v>94</v>
      </c>
      <c r="C12" s="17">
        <f>(C6+C9)*12</f>
        <v>1598052</v>
      </c>
    </row>
    <row r="13" spans="1:4" s="13" customFormat="1" ht="16.5" customHeight="1" x14ac:dyDescent="0.3">
      <c r="A13" s="10">
        <v>213</v>
      </c>
      <c r="B13" s="16" t="s">
        <v>93</v>
      </c>
      <c r="C13" s="17">
        <f>C12*30.2%</f>
        <v>482611.70399999997</v>
      </c>
    </row>
    <row r="14" spans="1:4" s="13" customFormat="1" ht="12" x14ac:dyDescent="0.3">
      <c r="A14" s="440">
        <v>221</v>
      </c>
      <c r="B14" s="18" t="s">
        <v>58</v>
      </c>
      <c r="C14" s="12">
        <f>C15*C16*12</f>
        <v>36000</v>
      </c>
    </row>
    <row r="15" spans="1:4" s="13" customFormat="1" ht="12" x14ac:dyDescent="0.3">
      <c r="A15" s="440"/>
      <c r="B15" s="14" t="s">
        <v>59</v>
      </c>
      <c r="C15" s="15">
        <v>2</v>
      </c>
    </row>
    <row r="16" spans="1:4" s="13" customFormat="1" ht="12" x14ac:dyDescent="0.3">
      <c r="A16" s="440"/>
      <c r="B16" s="14" t="s">
        <v>61</v>
      </c>
      <c r="C16" s="15">
        <v>1500</v>
      </c>
    </row>
    <row r="17" spans="1:4" s="13" customFormat="1" ht="12" x14ac:dyDescent="0.3">
      <c r="A17" s="440"/>
      <c r="B17" s="18" t="s">
        <v>0</v>
      </c>
      <c r="C17" s="12">
        <v>0</v>
      </c>
    </row>
    <row r="18" spans="1:4" s="13" customFormat="1" ht="12" x14ac:dyDescent="0.3">
      <c r="A18" s="440"/>
      <c r="B18" s="14" t="s">
        <v>79</v>
      </c>
      <c r="C18" s="15"/>
    </row>
    <row r="19" spans="1:4" s="13" customFormat="1" ht="12" x14ac:dyDescent="0.3">
      <c r="A19" s="440"/>
      <c r="B19" s="14" t="s">
        <v>60</v>
      </c>
      <c r="C19" s="15"/>
    </row>
    <row r="20" spans="1:4" s="13" customFormat="1" ht="12" x14ac:dyDescent="0.3">
      <c r="A20" s="440"/>
      <c r="B20" s="18" t="s">
        <v>1</v>
      </c>
      <c r="C20" s="12">
        <v>1500</v>
      </c>
    </row>
    <row r="21" spans="1:4" s="13" customFormat="1" ht="12" x14ac:dyDescent="0.3">
      <c r="A21" s="440"/>
      <c r="B21" s="14" t="s">
        <v>80</v>
      </c>
      <c r="C21" s="15">
        <v>50</v>
      </c>
    </row>
    <row r="22" spans="1:4" s="13" customFormat="1" ht="12" x14ac:dyDescent="0.3">
      <c r="A22" s="440"/>
      <c r="B22" s="14" t="s">
        <v>107</v>
      </c>
      <c r="C22" s="15">
        <v>30</v>
      </c>
    </row>
    <row r="23" spans="1:4" s="13" customFormat="1" ht="12" x14ac:dyDescent="0.3">
      <c r="A23" s="440"/>
      <c r="B23" s="16" t="s">
        <v>92</v>
      </c>
      <c r="C23" s="17">
        <f>C20+C17+C14</f>
        <v>37500</v>
      </c>
    </row>
    <row r="24" spans="1:4" s="13" customFormat="1" ht="12" x14ac:dyDescent="0.3">
      <c r="A24" s="440">
        <v>222</v>
      </c>
      <c r="B24" s="18" t="s">
        <v>62</v>
      </c>
      <c r="C24" s="19">
        <v>16200</v>
      </c>
    </row>
    <row r="25" spans="1:4" s="13" customFormat="1" ht="12" x14ac:dyDescent="0.3">
      <c r="A25" s="440"/>
      <c r="B25" s="14" t="s">
        <v>81</v>
      </c>
      <c r="C25" s="15">
        <v>90</v>
      </c>
    </row>
    <row r="26" spans="1:4" s="13" customFormat="1" ht="12" x14ac:dyDescent="0.3">
      <c r="A26" s="440"/>
      <c r="B26" s="14" t="s">
        <v>106</v>
      </c>
      <c r="C26" s="15">
        <v>180</v>
      </c>
    </row>
    <row r="27" spans="1:4" s="13" customFormat="1" ht="12" x14ac:dyDescent="0.3">
      <c r="A27" s="440"/>
      <c r="B27" s="16" t="s">
        <v>91</v>
      </c>
      <c r="C27" s="17">
        <f>C24</f>
        <v>16200</v>
      </c>
    </row>
    <row r="28" spans="1:4" s="13" customFormat="1" ht="12" x14ac:dyDescent="0.3">
      <c r="A28" s="440">
        <v>223</v>
      </c>
      <c r="B28" s="11" t="s">
        <v>2</v>
      </c>
      <c r="C28" s="12">
        <v>161662.20000000001</v>
      </c>
      <c r="D28" s="13">
        <f>C29*C30</f>
        <v>161694</v>
      </c>
    </row>
    <row r="29" spans="1:4" s="13" customFormat="1" ht="12" x14ac:dyDescent="0.3">
      <c r="A29" s="440"/>
      <c r="B29" s="14" t="s">
        <v>82</v>
      </c>
      <c r="C29" s="15">
        <v>26949</v>
      </c>
    </row>
    <row r="30" spans="1:4" s="13" customFormat="1" ht="12" x14ac:dyDescent="0.3">
      <c r="A30" s="440"/>
      <c r="B30" s="14" t="s">
        <v>108</v>
      </c>
      <c r="C30" s="15">
        <v>6</v>
      </c>
    </row>
    <row r="31" spans="1:4" s="13" customFormat="1" ht="12" x14ac:dyDescent="0.3">
      <c r="A31" s="440"/>
      <c r="B31" s="11" t="s">
        <v>3</v>
      </c>
      <c r="C31" s="12">
        <v>844882.82</v>
      </c>
      <c r="D31" s="13">
        <f>C32*C33</f>
        <v>844882.81800000009</v>
      </c>
    </row>
    <row r="32" spans="1:4" s="13" customFormat="1" ht="12" x14ac:dyDescent="0.3">
      <c r="A32" s="440"/>
      <c r="B32" s="14" t="s">
        <v>83</v>
      </c>
      <c r="C32" s="15">
        <v>291.10000000000002</v>
      </c>
    </row>
    <row r="33" spans="1:4" s="13" customFormat="1" ht="12" x14ac:dyDescent="0.3">
      <c r="A33" s="440"/>
      <c r="B33" s="14" t="s">
        <v>63</v>
      </c>
      <c r="C33" s="15">
        <v>2902.38</v>
      </c>
    </row>
    <row r="34" spans="1:4" s="13" customFormat="1" ht="12" x14ac:dyDescent="0.3">
      <c r="A34" s="440"/>
      <c r="B34" s="11" t="s">
        <v>4</v>
      </c>
      <c r="C34" s="12">
        <v>1508.4</v>
      </c>
    </row>
    <row r="35" spans="1:4" s="13" customFormat="1" ht="12" x14ac:dyDescent="0.3">
      <c r="A35" s="440"/>
      <c r="B35" s="14" t="s">
        <v>84</v>
      </c>
      <c r="C35" s="15">
        <v>180</v>
      </c>
    </row>
    <row r="36" spans="1:4" s="13" customFormat="1" ht="12" x14ac:dyDescent="0.3">
      <c r="A36" s="440"/>
      <c r="B36" s="14" t="s">
        <v>108</v>
      </c>
      <c r="C36" s="15">
        <v>8.3800000000000008</v>
      </c>
    </row>
    <row r="37" spans="1:4" s="13" customFormat="1" ht="12" x14ac:dyDescent="0.3">
      <c r="A37" s="440"/>
      <c r="B37" s="11" t="s">
        <v>29</v>
      </c>
      <c r="C37" s="12"/>
    </row>
    <row r="38" spans="1:4" s="13" customFormat="1" ht="12" x14ac:dyDescent="0.3">
      <c r="A38" s="440"/>
      <c r="B38" s="14" t="s">
        <v>84</v>
      </c>
      <c r="C38" s="15"/>
    </row>
    <row r="39" spans="1:4" s="13" customFormat="1" ht="12" x14ac:dyDescent="0.3">
      <c r="A39" s="440"/>
      <c r="B39" s="14" t="s">
        <v>108</v>
      </c>
      <c r="C39" s="15"/>
    </row>
    <row r="40" spans="1:4" s="13" customFormat="1" ht="12" x14ac:dyDescent="0.3">
      <c r="A40" s="440"/>
      <c r="B40" s="11" t="s">
        <v>5</v>
      </c>
      <c r="C40" s="12">
        <v>1976.4</v>
      </c>
    </row>
    <row r="41" spans="1:4" s="13" customFormat="1" ht="12" x14ac:dyDescent="0.3">
      <c r="A41" s="440"/>
      <c r="B41" s="14" t="s">
        <v>84</v>
      </c>
      <c r="C41" s="15">
        <v>180</v>
      </c>
    </row>
    <row r="42" spans="1:4" s="13" customFormat="1" ht="12" x14ac:dyDescent="0.3">
      <c r="A42" s="440"/>
      <c r="B42" s="14" t="s">
        <v>108</v>
      </c>
      <c r="C42" s="15">
        <v>10.98</v>
      </c>
    </row>
    <row r="43" spans="1:4" s="13" customFormat="1" ht="12" x14ac:dyDescent="0.3">
      <c r="A43" s="440"/>
      <c r="B43" s="11" t="s">
        <v>25</v>
      </c>
      <c r="C43" s="12"/>
    </row>
    <row r="44" spans="1:4" s="13" customFormat="1" ht="12" x14ac:dyDescent="0.3">
      <c r="A44" s="440"/>
      <c r="B44" s="14" t="s">
        <v>67</v>
      </c>
      <c r="C44" s="15"/>
    </row>
    <row r="45" spans="1:4" s="13" customFormat="1" ht="12" x14ac:dyDescent="0.3">
      <c r="A45" s="440"/>
      <c r="B45" s="14" t="s">
        <v>108</v>
      </c>
      <c r="C45" s="15"/>
    </row>
    <row r="46" spans="1:4" s="13" customFormat="1" ht="12" x14ac:dyDescent="0.3">
      <c r="A46" s="440"/>
      <c r="B46" s="16" t="s">
        <v>90</v>
      </c>
      <c r="C46" s="17">
        <f>C43+C40+C37+C34+C31+C28</f>
        <v>1010029.8200000001</v>
      </c>
      <c r="D46" s="30">
        <f>C28+C31+C34+C40</f>
        <v>1010029.8200000001</v>
      </c>
    </row>
    <row r="47" spans="1:4" s="13" customFormat="1" ht="12" x14ac:dyDescent="0.3">
      <c r="A47" s="440"/>
      <c r="B47" s="11" t="s">
        <v>6</v>
      </c>
      <c r="C47" s="12"/>
    </row>
    <row r="48" spans="1:4" s="13" customFormat="1" ht="12" x14ac:dyDescent="0.3">
      <c r="A48" s="440"/>
      <c r="B48" s="14" t="s">
        <v>84</v>
      </c>
      <c r="C48" s="15"/>
    </row>
    <row r="49" spans="1:3" s="13" customFormat="1" ht="12" x14ac:dyDescent="0.3">
      <c r="A49" s="440"/>
      <c r="B49" s="14" t="s">
        <v>108</v>
      </c>
      <c r="C49" s="15"/>
    </row>
    <row r="50" spans="1:3" s="13" customFormat="1" ht="12" x14ac:dyDescent="0.3">
      <c r="A50" s="440"/>
      <c r="B50" s="11" t="s">
        <v>7</v>
      </c>
      <c r="C50" s="12">
        <v>6088.8</v>
      </c>
    </row>
    <row r="51" spans="1:3" s="13" customFormat="1" ht="12" x14ac:dyDescent="0.3">
      <c r="A51" s="440"/>
      <c r="B51" s="14" t="s">
        <v>70</v>
      </c>
      <c r="C51" s="15">
        <v>1000</v>
      </c>
    </row>
    <row r="52" spans="1:3" s="13" customFormat="1" ht="12" x14ac:dyDescent="0.3">
      <c r="A52" s="440"/>
      <c r="B52" s="14" t="s">
        <v>108</v>
      </c>
      <c r="C52" s="15">
        <v>0.51</v>
      </c>
    </row>
    <row r="53" spans="1:3" s="13" customFormat="1" ht="22.8" x14ac:dyDescent="0.3">
      <c r="A53" s="440"/>
      <c r="B53" s="11" t="s">
        <v>54</v>
      </c>
      <c r="C53" s="12">
        <v>24000</v>
      </c>
    </row>
    <row r="54" spans="1:3" s="13" customFormat="1" ht="12" x14ac:dyDescent="0.3">
      <c r="A54" s="440"/>
      <c r="B54" s="20" t="s">
        <v>67</v>
      </c>
      <c r="C54" s="21">
        <v>12</v>
      </c>
    </row>
    <row r="55" spans="1:3" s="13" customFormat="1" ht="12" x14ac:dyDescent="0.3">
      <c r="A55" s="440"/>
      <c r="B55" s="14" t="s">
        <v>63</v>
      </c>
      <c r="C55" s="15">
        <v>2000</v>
      </c>
    </row>
    <row r="56" spans="1:3" s="13" customFormat="1" ht="12" x14ac:dyDescent="0.3">
      <c r="A56" s="440"/>
      <c r="B56" s="11" t="s">
        <v>8</v>
      </c>
      <c r="C56" s="12">
        <v>14400</v>
      </c>
    </row>
    <row r="57" spans="1:3" s="13" customFormat="1" ht="12" x14ac:dyDescent="0.3">
      <c r="A57" s="440"/>
      <c r="B57" s="14" t="s">
        <v>109</v>
      </c>
      <c r="C57" s="15">
        <v>12</v>
      </c>
    </row>
    <row r="58" spans="1:3" s="13" customFormat="1" ht="12" x14ac:dyDescent="0.3">
      <c r="A58" s="440"/>
      <c r="B58" s="14" t="s">
        <v>110</v>
      </c>
      <c r="C58" s="15">
        <v>1200</v>
      </c>
    </row>
    <row r="59" spans="1:3" s="13" customFormat="1" ht="12" x14ac:dyDescent="0.3">
      <c r="A59" s="440"/>
      <c r="B59" s="11" t="s">
        <v>28</v>
      </c>
      <c r="C59" s="12"/>
    </row>
    <row r="60" spans="1:3" s="13" customFormat="1" ht="12" x14ac:dyDescent="0.3">
      <c r="A60" s="440"/>
      <c r="B60" s="14" t="s">
        <v>67</v>
      </c>
      <c r="C60" s="15"/>
    </row>
    <row r="61" spans="1:3" s="13" customFormat="1" ht="12" x14ac:dyDescent="0.3">
      <c r="A61" s="440"/>
      <c r="B61" s="14" t="s">
        <v>111</v>
      </c>
      <c r="C61" s="15"/>
    </row>
    <row r="62" spans="1:3" s="13" customFormat="1" ht="12" x14ac:dyDescent="0.3">
      <c r="A62" s="440"/>
      <c r="B62" s="11" t="s">
        <v>96</v>
      </c>
      <c r="C62" s="12"/>
    </row>
    <row r="63" spans="1:3" s="13" customFormat="1" ht="12" x14ac:dyDescent="0.3">
      <c r="A63" s="440"/>
      <c r="B63" s="14" t="s">
        <v>109</v>
      </c>
      <c r="C63" s="15"/>
    </row>
    <row r="64" spans="1:3" s="13" customFormat="1" ht="12" x14ac:dyDescent="0.3">
      <c r="A64" s="440"/>
      <c r="B64" s="14" t="s">
        <v>110</v>
      </c>
      <c r="C64" s="15"/>
    </row>
    <row r="65" spans="1:3" s="13" customFormat="1" ht="12" x14ac:dyDescent="0.3">
      <c r="A65" s="440"/>
      <c r="B65" s="11" t="s">
        <v>103</v>
      </c>
      <c r="C65" s="12">
        <v>28200</v>
      </c>
    </row>
    <row r="66" spans="1:3" s="13" customFormat="1" ht="12" x14ac:dyDescent="0.3">
      <c r="A66" s="440"/>
      <c r="B66" s="14" t="s">
        <v>109</v>
      </c>
      <c r="C66" s="15">
        <v>12</v>
      </c>
    </row>
    <row r="67" spans="1:3" s="13" customFormat="1" ht="12" x14ac:dyDescent="0.3">
      <c r="A67" s="440"/>
      <c r="B67" s="14" t="s">
        <v>110</v>
      </c>
      <c r="C67" s="15">
        <v>2350</v>
      </c>
    </row>
    <row r="68" spans="1:3" s="13" customFormat="1" ht="12" x14ac:dyDescent="0.3">
      <c r="A68" s="440"/>
      <c r="B68" s="11" t="s">
        <v>26</v>
      </c>
      <c r="C68" s="12"/>
    </row>
    <row r="69" spans="1:3" s="13" customFormat="1" ht="12" x14ac:dyDescent="0.3">
      <c r="A69" s="440"/>
      <c r="B69" s="14" t="s">
        <v>109</v>
      </c>
      <c r="C69" s="15"/>
    </row>
    <row r="70" spans="1:3" s="13" customFormat="1" ht="12" x14ac:dyDescent="0.3">
      <c r="A70" s="440"/>
      <c r="B70" s="14" t="s">
        <v>110</v>
      </c>
      <c r="C70" s="15"/>
    </row>
    <row r="71" spans="1:3" s="13" customFormat="1" ht="12" x14ac:dyDescent="0.3">
      <c r="A71" s="440"/>
      <c r="B71" s="22" t="s">
        <v>101</v>
      </c>
      <c r="C71" s="12"/>
    </row>
    <row r="72" spans="1:3" s="13" customFormat="1" ht="12" x14ac:dyDescent="0.3">
      <c r="A72" s="440"/>
      <c r="B72" s="23" t="s">
        <v>46</v>
      </c>
      <c r="C72" s="24"/>
    </row>
    <row r="73" spans="1:3" s="13" customFormat="1" ht="12" x14ac:dyDescent="0.3">
      <c r="A73" s="440"/>
      <c r="B73" s="11" t="s">
        <v>102</v>
      </c>
      <c r="C73" s="12">
        <v>60000</v>
      </c>
    </row>
    <row r="74" spans="1:3" s="13" customFormat="1" ht="12" x14ac:dyDescent="0.3">
      <c r="A74" s="440"/>
      <c r="B74" s="14" t="s">
        <v>67</v>
      </c>
      <c r="C74" s="15">
        <v>6</v>
      </c>
    </row>
    <row r="75" spans="1:3" s="13" customFormat="1" ht="12" x14ac:dyDescent="0.3">
      <c r="A75" s="440"/>
      <c r="B75" s="14" t="s">
        <v>69</v>
      </c>
      <c r="C75" s="15">
        <v>1</v>
      </c>
    </row>
    <row r="76" spans="1:3" s="13" customFormat="1" ht="12" x14ac:dyDescent="0.3">
      <c r="A76" s="440"/>
      <c r="B76" s="14" t="s">
        <v>105</v>
      </c>
      <c r="C76" s="15">
        <v>10000</v>
      </c>
    </row>
    <row r="77" spans="1:3" s="13" customFormat="1" ht="12" x14ac:dyDescent="0.3">
      <c r="A77" s="440"/>
      <c r="B77" s="11" t="s">
        <v>31</v>
      </c>
      <c r="C77" s="12">
        <v>1920</v>
      </c>
    </row>
    <row r="78" spans="1:3" s="13" customFormat="1" ht="12" x14ac:dyDescent="0.3">
      <c r="A78" s="440"/>
      <c r="B78" s="14" t="s">
        <v>109</v>
      </c>
      <c r="C78" s="15">
        <v>2</v>
      </c>
    </row>
    <row r="79" spans="1:3" s="13" customFormat="1" ht="12" x14ac:dyDescent="0.3">
      <c r="A79" s="440"/>
      <c r="B79" s="14" t="s">
        <v>110</v>
      </c>
      <c r="C79" s="15">
        <v>960</v>
      </c>
    </row>
    <row r="80" spans="1:3" s="13" customFormat="1" ht="12" x14ac:dyDescent="0.3">
      <c r="A80" s="440"/>
      <c r="B80" s="11" t="s">
        <v>32</v>
      </c>
      <c r="C80" s="12">
        <v>6000</v>
      </c>
    </row>
    <row r="81" spans="1:3" s="13" customFormat="1" ht="12" x14ac:dyDescent="0.3">
      <c r="A81" s="440"/>
      <c r="B81" s="14" t="s">
        <v>109</v>
      </c>
      <c r="C81" s="15">
        <v>12</v>
      </c>
    </row>
    <row r="82" spans="1:3" s="13" customFormat="1" ht="12" x14ac:dyDescent="0.3">
      <c r="A82" s="440"/>
      <c r="B82" s="14" t="s">
        <v>110</v>
      </c>
      <c r="C82" s="15">
        <v>500</v>
      </c>
    </row>
    <row r="83" spans="1:3" s="13" customFormat="1" ht="12" x14ac:dyDescent="0.3">
      <c r="A83" s="440"/>
      <c r="B83" s="11" t="s">
        <v>49</v>
      </c>
      <c r="C83" s="12">
        <v>15000</v>
      </c>
    </row>
    <row r="84" spans="1:3" s="13" customFormat="1" ht="12" x14ac:dyDescent="0.3">
      <c r="A84" s="440"/>
      <c r="B84" s="14" t="s">
        <v>65</v>
      </c>
      <c r="C84" s="15">
        <v>10</v>
      </c>
    </row>
    <row r="85" spans="1:3" s="13" customFormat="1" ht="12" x14ac:dyDescent="0.3">
      <c r="A85" s="440"/>
      <c r="B85" s="14" t="s">
        <v>68</v>
      </c>
      <c r="C85" s="15"/>
    </row>
    <row r="86" spans="1:3" s="13" customFormat="1" ht="12" x14ac:dyDescent="0.3">
      <c r="A86" s="440"/>
      <c r="B86" s="14" t="s">
        <v>63</v>
      </c>
      <c r="C86" s="15">
        <v>1500</v>
      </c>
    </row>
    <row r="87" spans="1:3" s="13" customFormat="1" ht="12" x14ac:dyDescent="0.3">
      <c r="A87" s="440"/>
      <c r="B87" s="11" t="s">
        <v>33</v>
      </c>
      <c r="C87" s="12"/>
    </row>
    <row r="88" spans="1:3" s="13" customFormat="1" ht="12" x14ac:dyDescent="0.3">
      <c r="A88" s="440"/>
      <c r="B88" s="25" t="s">
        <v>43</v>
      </c>
      <c r="C88" s="24"/>
    </row>
    <row r="89" spans="1:3" s="13" customFormat="1" ht="12" x14ac:dyDescent="0.3">
      <c r="A89" s="440"/>
      <c r="B89" s="11" t="s">
        <v>51</v>
      </c>
      <c r="C89" s="12">
        <v>9000</v>
      </c>
    </row>
    <row r="90" spans="1:3" s="13" customFormat="1" ht="12" x14ac:dyDescent="0.3">
      <c r="A90" s="440"/>
      <c r="B90" s="14" t="s">
        <v>104</v>
      </c>
      <c r="C90" s="15">
        <v>30</v>
      </c>
    </row>
    <row r="91" spans="1:3" s="13" customFormat="1" ht="12" x14ac:dyDescent="0.3">
      <c r="A91" s="440"/>
      <c r="B91" s="14" t="s">
        <v>105</v>
      </c>
      <c r="C91" s="15">
        <v>300</v>
      </c>
    </row>
    <row r="92" spans="1:3" s="13" customFormat="1" ht="12" x14ac:dyDescent="0.3">
      <c r="A92" s="440"/>
      <c r="B92" s="11" t="s">
        <v>52</v>
      </c>
      <c r="C92" s="12">
        <v>18000</v>
      </c>
    </row>
    <row r="93" spans="1:3" s="13" customFormat="1" ht="12" x14ac:dyDescent="0.3">
      <c r="A93" s="440"/>
      <c r="B93" s="14" t="s">
        <v>109</v>
      </c>
      <c r="C93" s="15">
        <v>12</v>
      </c>
    </row>
    <row r="94" spans="1:3" s="13" customFormat="1" ht="12" x14ac:dyDescent="0.3">
      <c r="A94" s="440"/>
      <c r="B94" s="14" t="s">
        <v>110</v>
      </c>
      <c r="C94" s="15">
        <v>1500</v>
      </c>
    </row>
    <row r="95" spans="1:3" s="13" customFormat="1" ht="12" x14ac:dyDescent="0.3">
      <c r="A95" s="440"/>
      <c r="B95" s="11" t="s">
        <v>45</v>
      </c>
      <c r="C95" s="12">
        <v>50000</v>
      </c>
    </row>
    <row r="96" spans="1:3" s="13" customFormat="1" ht="12" x14ac:dyDescent="0.3">
      <c r="A96" s="440"/>
      <c r="B96" s="25" t="s">
        <v>9</v>
      </c>
      <c r="C96" s="24">
        <v>20000</v>
      </c>
    </row>
    <row r="97" spans="1:5" s="36" customFormat="1" ht="12" x14ac:dyDescent="0.3">
      <c r="A97" s="440"/>
      <c r="B97" s="28" t="s">
        <v>280</v>
      </c>
      <c r="C97" s="35"/>
    </row>
    <row r="98" spans="1:5" s="36" customFormat="1" ht="12" x14ac:dyDescent="0.3">
      <c r="A98" s="440"/>
      <c r="B98" s="28" t="s">
        <v>281</v>
      </c>
      <c r="C98" s="35">
        <v>150000</v>
      </c>
    </row>
    <row r="99" spans="1:5" s="36" customFormat="1" ht="12" x14ac:dyDescent="0.3">
      <c r="A99" s="440"/>
      <c r="B99" s="28"/>
      <c r="C99" s="35"/>
    </row>
    <row r="100" spans="1:5" s="36" customFormat="1" ht="12" x14ac:dyDescent="0.3">
      <c r="A100" s="440"/>
      <c r="B100" s="28"/>
      <c r="C100" s="35"/>
    </row>
    <row r="101" spans="1:5" s="36" customFormat="1" ht="12" x14ac:dyDescent="0.3">
      <c r="A101" s="440"/>
      <c r="B101" s="28"/>
      <c r="C101" s="35"/>
    </row>
    <row r="102" spans="1:5" s="13" customFormat="1" ht="29.25" customHeight="1" x14ac:dyDescent="0.3">
      <c r="A102" s="440"/>
      <c r="B102" s="16" t="s">
        <v>89</v>
      </c>
      <c r="C102" s="17">
        <f>C96+C95+C92+C89+C88+C87+C83+C80+C77+C73+C72+C71+C68+C65+C62+C59+C56+C53+C50+C47+C97+C98+C99+C100+C101</f>
        <v>402608.8</v>
      </c>
    </row>
    <row r="103" spans="1:5" s="13" customFormat="1" ht="12" x14ac:dyDescent="0.3">
      <c r="A103" s="434">
        <v>226</v>
      </c>
      <c r="B103" s="25" t="s">
        <v>10</v>
      </c>
      <c r="C103" s="24">
        <v>14256</v>
      </c>
    </row>
    <row r="104" spans="1:5" s="13" customFormat="1" ht="12" x14ac:dyDescent="0.3">
      <c r="A104" s="435"/>
      <c r="B104" s="11" t="s">
        <v>11</v>
      </c>
      <c r="C104" s="12">
        <v>61600</v>
      </c>
    </row>
    <row r="105" spans="1:5" s="13" customFormat="1" ht="12" x14ac:dyDescent="0.3">
      <c r="A105" s="435"/>
      <c r="B105" s="14" t="s">
        <v>68</v>
      </c>
      <c r="C105" s="15">
        <v>22</v>
      </c>
    </row>
    <row r="106" spans="1:5" s="13" customFormat="1" ht="21" customHeight="1" x14ac:dyDescent="0.3">
      <c r="A106" s="435"/>
      <c r="B106" s="14" t="s">
        <v>112</v>
      </c>
      <c r="C106" s="15">
        <v>2800</v>
      </c>
    </row>
    <row r="107" spans="1:5" s="13" customFormat="1" ht="27" customHeight="1" x14ac:dyDescent="0.3">
      <c r="A107" s="435"/>
      <c r="B107" s="11" t="s">
        <v>42</v>
      </c>
      <c r="C107" s="12"/>
    </row>
    <row r="108" spans="1:5" s="13" customFormat="1" ht="12" x14ac:dyDescent="0.3">
      <c r="A108" s="435"/>
      <c r="B108" s="14" t="s">
        <v>68</v>
      </c>
      <c r="C108" s="15"/>
    </row>
    <row r="109" spans="1:5" s="13" customFormat="1" ht="12" x14ac:dyDescent="0.3">
      <c r="A109" s="435"/>
      <c r="B109" s="14" t="s">
        <v>112</v>
      </c>
      <c r="C109" s="15"/>
    </row>
    <row r="110" spans="1:5" s="157" customFormat="1" ht="12" x14ac:dyDescent="0.3">
      <c r="A110" s="435"/>
      <c r="B110" s="22" t="s">
        <v>12</v>
      </c>
      <c r="C110" s="257">
        <v>43500</v>
      </c>
      <c r="D110" s="157">
        <f>C111*C112</f>
        <v>39600</v>
      </c>
      <c r="E110" s="258">
        <f>D110-C110</f>
        <v>-3900</v>
      </c>
    </row>
    <row r="111" spans="1:5" s="13" customFormat="1" ht="12" x14ac:dyDescent="0.3">
      <c r="A111" s="435"/>
      <c r="B111" s="14" t="s">
        <v>109</v>
      </c>
      <c r="C111" s="15">
        <v>12</v>
      </c>
    </row>
    <row r="112" spans="1:5" s="13" customFormat="1" ht="12" x14ac:dyDescent="0.3">
      <c r="A112" s="435"/>
      <c r="B112" s="14" t="s">
        <v>110</v>
      </c>
      <c r="C112" s="260">
        <v>3300</v>
      </c>
    </row>
    <row r="113" spans="1:3" s="13" customFormat="1" ht="12" x14ac:dyDescent="0.3">
      <c r="A113" s="435"/>
      <c r="B113" s="11" t="s">
        <v>36</v>
      </c>
      <c r="C113" s="12">
        <v>30000</v>
      </c>
    </row>
    <row r="114" spans="1:3" s="13" customFormat="1" ht="12" x14ac:dyDescent="0.3">
      <c r="A114" s="435"/>
      <c r="B114" s="14" t="s">
        <v>109</v>
      </c>
      <c r="C114" s="15">
        <v>12</v>
      </c>
    </row>
    <row r="115" spans="1:3" s="13" customFormat="1" ht="12" x14ac:dyDescent="0.3">
      <c r="A115" s="435"/>
      <c r="B115" s="14" t="s">
        <v>110</v>
      </c>
      <c r="C115" s="15">
        <v>2500</v>
      </c>
    </row>
    <row r="116" spans="1:3" s="13" customFormat="1" ht="12" x14ac:dyDescent="0.3">
      <c r="A116" s="435"/>
      <c r="B116" s="11" t="s">
        <v>113</v>
      </c>
      <c r="C116" s="12"/>
    </row>
    <row r="117" spans="1:3" s="13" customFormat="1" ht="12" x14ac:dyDescent="0.3">
      <c r="A117" s="435"/>
      <c r="B117" s="14" t="s">
        <v>109</v>
      </c>
      <c r="C117" s="15"/>
    </row>
    <row r="118" spans="1:3" s="13" customFormat="1" ht="12" x14ac:dyDescent="0.3">
      <c r="A118" s="435"/>
      <c r="B118" s="14" t="s">
        <v>110</v>
      </c>
      <c r="C118" s="15"/>
    </row>
    <row r="119" spans="1:3" s="13" customFormat="1" ht="12" x14ac:dyDescent="0.3">
      <c r="A119" s="435"/>
      <c r="B119" s="11" t="s">
        <v>41</v>
      </c>
      <c r="C119" s="12">
        <v>11750</v>
      </c>
    </row>
    <row r="120" spans="1:3" s="13" customFormat="1" ht="12" x14ac:dyDescent="0.3">
      <c r="A120" s="435"/>
      <c r="B120" s="14" t="s">
        <v>66</v>
      </c>
      <c r="C120" s="15">
        <v>25</v>
      </c>
    </row>
    <row r="121" spans="1:3" s="13" customFormat="1" ht="12" x14ac:dyDescent="0.3">
      <c r="A121" s="435"/>
      <c r="B121" s="14" t="s">
        <v>63</v>
      </c>
      <c r="C121" s="15">
        <v>470</v>
      </c>
    </row>
    <row r="122" spans="1:3" s="13" customFormat="1" ht="12" x14ac:dyDescent="0.3">
      <c r="A122" s="435"/>
      <c r="B122" s="11" t="s">
        <v>40</v>
      </c>
      <c r="C122" s="12">
        <v>3000</v>
      </c>
    </row>
    <row r="123" spans="1:3" s="13" customFormat="1" ht="12" x14ac:dyDescent="0.3">
      <c r="A123" s="435"/>
      <c r="B123" s="14" t="s">
        <v>66</v>
      </c>
      <c r="C123" s="15">
        <v>2</v>
      </c>
    </row>
    <row r="124" spans="1:3" s="13" customFormat="1" ht="12" x14ac:dyDescent="0.3">
      <c r="A124" s="435"/>
      <c r="B124" s="14" t="s">
        <v>63</v>
      </c>
      <c r="C124" s="15">
        <v>1500</v>
      </c>
    </row>
    <row r="125" spans="1:3" s="13" customFormat="1" ht="12" x14ac:dyDescent="0.3">
      <c r="A125" s="435"/>
      <c r="B125" s="11" t="s">
        <v>37</v>
      </c>
      <c r="C125" s="12">
        <v>1000</v>
      </c>
    </row>
    <row r="126" spans="1:3" s="13" customFormat="1" ht="12" x14ac:dyDescent="0.3">
      <c r="A126" s="435"/>
      <c r="B126" s="25" t="s">
        <v>44</v>
      </c>
      <c r="C126" s="24">
        <v>15000</v>
      </c>
    </row>
    <row r="127" spans="1:3" s="13" customFormat="1" ht="12" x14ac:dyDescent="0.3">
      <c r="A127" s="435"/>
      <c r="B127" s="14" t="s">
        <v>66</v>
      </c>
      <c r="C127" s="15">
        <v>10</v>
      </c>
    </row>
    <row r="128" spans="1:3" s="13" customFormat="1" ht="12" x14ac:dyDescent="0.3">
      <c r="A128" s="435"/>
      <c r="B128" s="14" t="s">
        <v>63</v>
      </c>
      <c r="C128" s="15">
        <v>1500</v>
      </c>
    </row>
    <row r="129" spans="1:4" s="13" customFormat="1" ht="12" x14ac:dyDescent="0.3">
      <c r="A129" s="435"/>
      <c r="B129" s="25" t="s">
        <v>13</v>
      </c>
      <c r="C129" s="24">
        <v>44000</v>
      </c>
    </row>
    <row r="130" spans="1:4" s="13" customFormat="1" ht="12" x14ac:dyDescent="0.3">
      <c r="A130" s="435"/>
      <c r="B130" s="11" t="s">
        <v>14</v>
      </c>
      <c r="C130" s="12">
        <v>10000</v>
      </c>
    </row>
    <row r="131" spans="1:4" s="13" customFormat="1" ht="12" x14ac:dyDescent="0.3">
      <c r="A131" s="435"/>
      <c r="B131" s="25" t="s">
        <v>30</v>
      </c>
      <c r="C131" s="24">
        <v>3900</v>
      </c>
    </row>
    <row r="132" spans="1:4" s="157" customFormat="1" ht="12" x14ac:dyDescent="0.3">
      <c r="A132" s="435"/>
      <c r="B132" s="22" t="s">
        <v>48</v>
      </c>
      <c r="C132" s="257">
        <v>4939.4799999999996</v>
      </c>
      <c r="D132" s="157" t="s">
        <v>181</v>
      </c>
    </row>
    <row r="133" spans="1:4" s="13" customFormat="1" ht="12" x14ac:dyDescent="0.3">
      <c r="A133" s="435"/>
      <c r="B133" s="14" t="s">
        <v>66</v>
      </c>
      <c r="C133" s="15">
        <v>1</v>
      </c>
    </row>
    <row r="134" spans="1:4" s="13" customFormat="1" ht="12" x14ac:dyDescent="0.3">
      <c r="A134" s="435"/>
      <c r="B134" s="14" t="s">
        <v>63</v>
      </c>
      <c r="C134" s="15">
        <v>4939.4799999999996</v>
      </c>
    </row>
    <row r="135" spans="1:4" s="13" customFormat="1" ht="12" x14ac:dyDescent="0.3">
      <c r="A135" s="435"/>
      <c r="B135" s="11" t="s">
        <v>15</v>
      </c>
      <c r="C135" s="12">
        <v>1400</v>
      </c>
    </row>
    <row r="136" spans="1:4" s="13" customFormat="1" ht="12" x14ac:dyDescent="0.3">
      <c r="A136" s="435"/>
      <c r="B136" s="25" t="s">
        <v>16</v>
      </c>
      <c r="C136" s="24">
        <v>28500</v>
      </c>
    </row>
    <row r="137" spans="1:4" s="13" customFormat="1" ht="12" x14ac:dyDescent="0.3">
      <c r="A137" s="435"/>
      <c r="B137" s="14" t="s">
        <v>66</v>
      </c>
      <c r="C137" s="15">
        <v>5</v>
      </c>
    </row>
    <row r="138" spans="1:4" s="13" customFormat="1" ht="12" x14ac:dyDescent="0.3">
      <c r="A138" s="435"/>
      <c r="B138" s="14" t="s">
        <v>112</v>
      </c>
      <c r="C138" s="15">
        <v>5700</v>
      </c>
    </row>
    <row r="139" spans="1:4" s="13" customFormat="1" ht="12" x14ac:dyDescent="0.3">
      <c r="A139" s="435"/>
      <c r="B139" s="11" t="s">
        <v>34</v>
      </c>
      <c r="C139" s="12">
        <f>C141+C143</f>
        <v>19978.16</v>
      </c>
    </row>
    <row r="140" spans="1:4" s="13" customFormat="1" ht="12" x14ac:dyDescent="0.3">
      <c r="A140" s="435"/>
      <c r="B140" s="14" t="s">
        <v>66</v>
      </c>
      <c r="C140" s="15">
        <v>1</v>
      </c>
    </row>
    <row r="141" spans="1:4" s="13" customFormat="1" ht="12" x14ac:dyDescent="0.3">
      <c r="A141" s="435"/>
      <c r="B141" s="14" t="s">
        <v>63</v>
      </c>
      <c r="C141" s="15">
        <v>4831.8900000000003</v>
      </c>
    </row>
    <row r="142" spans="1:4" s="13" customFormat="1" ht="12" x14ac:dyDescent="0.3">
      <c r="A142" s="435"/>
      <c r="B142" s="14" t="s">
        <v>66</v>
      </c>
      <c r="C142" s="15">
        <v>1</v>
      </c>
    </row>
    <row r="143" spans="1:4" s="13" customFormat="1" ht="12" x14ac:dyDescent="0.3">
      <c r="A143" s="435"/>
      <c r="B143" s="14" t="s">
        <v>63</v>
      </c>
      <c r="C143" s="15">
        <v>15146.27</v>
      </c>
    </row>
    <row r="144" spans="1:4" s="13" customFormat="1" ht="12" x14ac:dyDescent="0.3">
      <c r="A144" s="435"/>
      <c r="B144" s="11" t="s">
        <v>35</v>
      </c>
      <c r="C144" s="12">
        <v>24000</v>
      </c>
    </row>
    <row r="145" spans="1:3" s="13" customFormat="1" ht="12" x14ac:dyDescent="0.3">
      <c r="A145" s="435"/>
      <c r="B145" s="14" t="s">
        <v>64</v>
      </c>
      <c r="C145" s="15">
        <v>365</v>
      </c>
    </row>
    <row r="146" spans="1:3" s="13" customFormat="1" ht="12" x14ac:dyDescent="0.3">
      <c r="A146" s="435"/>
      <c r="B146" s="14" t="s">
        <v>68</v>
      </c>
      <c r="C146" s="15">
        <v>1</v>
      </c>
    </row>
    <row r="147" spans="1:3" s="13" customFormat="1" ht="12" x14ac:dyDescent="0.3">
      <c r="A147" s="435"/>
      <c r="B147" s="14" t="s">
        <v>63</v>
      </c>
      <c r="C147" s="15">
        <v>24000</v>
      </c>
    </row>
    <row r="148" spans="1:3" s="13" customFormat="1" ht="27.75" customHeight="1" x14ac:dyDescent="0.3">
      <c r="A148" s="435"/>
      <c r="B148" s="11" t="s">
        <v>50</v>
      </c>
      <c r="C148" s="12">
        <v>17920</v>
      </c>
    </row>
    <row r="149" spans="1:3" s="13" customFormat="1" ht="12" x14ac:dyDescent="0.3">
      <c r="A149" s="435"/>
      <c r="B149" s="14" t="s">
        <v>64</v>
      </c>
      <c r="C149" s="15">
        <v>256</v>
      </c>
    </row>
    <row r="150" spans="1:3" s="13" customFormat="1" ht="12" x14ac:dyDescent="0.3">
      <c r="A150" s="435"/>
      <c r="B150" s="14" t="s">
        <v>68</v>
      </c>
      <c r="C150" s="15">
        <v>1</v>
      </c>
    </row>
    <row r="151" spans="1:3" s="13" customFormat="1" ht="12" x14ac:dyDescent="0.3">
      <c r="A151" s="435"/>
      <c r="B151" s="14" t="s">
        <v>63</v>
      </c>
      <c r="C151" s="15">
        <v>70</v>
      </c>
    </row>
    <row r="152" spans="1:3" s="26" customFormat="1" ht="26.25" customHeight="1" x14ac:dyDescent="0.3">
      <c r="A152" s="435"/>
      <c r="B152" s="11" t="s">
        <v>47</v>
      </c>
      <c r="C152" s="12">
        <v>5000</v>
      </c>
    </row>
    <row r="153" spans="1:3" s="26" customFormat="1" ht="11.4" x14ac:dyDescent="0.3">
      <c r="A153" s="435"/>
      <c r="B153" s="25" t="s">
        <v>27</v>
      </c>
      <c r="C153" s="24">
        <v>8880</v>
      </c>
    </row>
    <row r="154" spans="1:3" s="13" customFormat="1" ht="12" x14ac:dyDescent="0.3">
      <c r="A154" s="435"/>
      <c r="B154" s="14" t="s">
        <v>114</v>
      </c>
      <c r="C154" s="15">
        <v>12</v>
      </c>
    </row>
    <row r="155" spans="1:3" s="13" customFormat="1" ht="12" x14ac:dyDescent="0.3">
      <c r="A155" s="435"/>
      <c r="B155" s="14" t="s">
        <v>110</v>
      </c>
      <c r="C155" s="15">
        <v>740</v>
      </c>
    </row>
    <row r="156" spans="1:3" s="26" customFormat="1" ht="21.75" customHeight="1" x14ac:dyDescent="0.3">
      <c r="A156" s="435"/>
      <c r="B156" s="11" t="s">
        <v>17</v>
      </c>
      <c r="C156" s="12"/>
    </row>
    <row r="157" spans="1:3" s="13" customFormat="1" ht="12" x14ac:dyDescent="0.3">
      <c r="A157" s="435"/>
      <c r="B157" s="14" t="s">
        <v>114</v>
      </c>
      <c r="C157" s="15"/>
    </row>
    <row r="158" spans="1:3" s="13" customFormat="1" ht="18.75" customHeight="1" x14ac:dyDescent="0.3">
      <c r="A158" s="435"/>
      <c r="B158" s="14" t="s">
        <v>110</v>
      </c>
      <c r="C158" s="15"/>
    </row>
    <row r="159" spans="1:3" s="26" customFormat="1" ht="11.4" x14ac:dyDescent="0.3">
      <c r="A159" s="435"/>
      <c r="B159" s="11" t="s">
        <v>18</v>
      </c>
      <c r="C159" s="12">
        <v>12000</v>
      </c>
    </row>
    <row r="160" spans="1:3" s="13" customFormat="1" ht="12" x14ac:dyDescent="0.3">
      <c r="A160" s="435"/>
      <c r="B160" s="14" t="s">
        <v>66</v>
      </c>
      <c r="C160" s="15">
        <v>12</v>
      </c>
    </row>
    <row r="161" spans="1:4" s="13" customFormat="1" ht="12" x14ac:dyDescent="0.3">
      <c r="A161" s="435"/>
      <c r="B161" s="14" t="s">
        <v>63</v>
      </c>
      <c r="C161" s="15">
        <v>1000</v>
      </c>
    </row>
    <row r="162" spans="1:4" s="26" customFormat="1" ht="11.4" x14ac:dyDescent="0.3">
      <c r="A162" s="435"/>
      <c r="B162" s="11" t="s">
        <v>19</v>
      </c>
      <c r="C162" s="12">
        <v>46000</v>
      </c>
    </row>
    <row r="163" spans="1:4" s="13" customFormat="1" ht="12" x14ac:dyDescent="0.3">
      <c r="A163" s="435"/>
      <c r="B163" s="14" t="s">
        <v>66</v>
      </c>
      <c r="C163" s="15">
        <v>23</v>
      </c>
    </row>
    <row r="164" spans="1:4" s="13" customFormat="1" ht="12" x14ac:dyDescent="0.3">
      <c r="A164" s="435"/>
      <c r="B164" s="14" t="s">
        <v>63</v>
      </c>
      <c r="C164" s="15">
        <v>2000</v>
      </c>
    </row>
    <row r="165" spans="1:4" s="13" customFormat="1" ht="12" x14ac:dyDescent="0.3">
      <c r="A165" s="435"/>
      <c r="B165" s="11" t="s">
        <v>282</v>
      </c>
      <c r="C165" s="12">
        <v>14700</v>
      </c>
    </row>
    <row r="166" spans="1:4" s="26" customFormat="1" ht="11.4" x14ac:dyDescent="0.3">
      <c r="A166" s="436"/>
      <c r="B166" s="16" t="s">
        <v>88</v>
      </c>
      <c r="C166" s="17">
        <f>C103+C104+C107+C110+C113+C116+C119+C122+C125+C126+C129+C130+C131+C132+C135+C136+C139+C144+C148+C152+C153+C156+C159+C162+C165</f>
        <v>421323.63999999996</v>
      </c>
      <c r="D166" s="155">
        <f>C103+C104+C110+C113+C119+C122+C125+C126+C129+C130+C131+C132+C135+C136+C139+C144+C148+C152+C153+C159+C162+C165</f>
        <v>421323.63999999996</v>
      </c>
    </row>
    <row r="167" spans="1:4" s="13" customFormat="1" ht="12" x14ac:dyDescent="0.3">
      <c r="A167" s="440">
        <v>290</v>
      </c>
      <c r="B167" s="27" t="s">
        <v>20</v>
      </c>
      <c r="C167" s="15">
        <v>91382</v>
      </c>
    </row>
    <row r="168" spans="1:4" s="13" customFormat="1" ht="12" x14ac:dyDescent="0.3">
      <c r="A168" s="440"/>
      <c r="B168" s="27" t="s">
        <v>21</v>
      </c>
      <c r="C168" s="15">
        <v>9827</v>
      </c>
    </row>
    <row r="169" spans="1:4" s="26" customFormat="1" ht="11.4" x14ac:dyDescent="0.3">
      <c r="A169" s="440"/>
      <c r="B169" s="16" t="s">
        <v>87</v>
      </c>
      <c r="C169" s="17">
        <f>C168+C167</f>
        <v>101209</v>
      </c>
    </row>
    <row r="170" spans="1:4" s="26" customFormat="1" ht="11.4" x14ac:dyDescent="0.3">
      <c r="A170" s="434">
        <v>340</v>
      </c>
      <c r="B170" s="11" t="s">
        <v>115</v>
      </c>
      <c r="C170" s="12">
        <v>81600</v>
      </c>
    </row>
    <row r="171" spans="1:4" s="13" customFormat="1" ht="12" x14ac:dyDescent="0.3">
      <c r="A171" s="435"/>
      <c r="B171" s="27" t="s">
        <v>75</v>
      </c>
      <c r="C171" s="15">
        <v>24</v>
      </c>
    </row>
    <row r="172" spans="1:4" s="13" customFormat="1" ht="12" x14ac:dyDescent="0.3">
      <c r="A172" s="435"/>
      <c r="B172" s="27" t="s">
        <v>76</v>
      </c>
      <c r="C172" s="15">
        <v>20</v>
      </c>
    </row>
    <row r="173" spans="1:4" s="13" customFormat="1" ht="12" x14ac:dyDescent="0.3">
      <c r="A173" s="435"/>
      <c r="B173" s="27" t="s">
        <v>77</v>
      </c>
      <c r="C173" s="15">
        <v>170</v>
      </c>
    </row>
    <row r="174" spans="1:4" s="26" customFormat="1" ht="11.4" x14ac:dyDescent="0.3">
      <c r="A174" s="435"/>
      <c r="B174" s="11" t="s">
        <v>78</v>
      </c>
      <c r="C174" s="12">
        <v>164640</v>
      </c>
    </row>
    <row r="175" spans="1:4" s="13" customFormat="1" ht="12" x14ac:dyDescent="0.3">
      <c r="A175" s="435"/>
      <c r="B175" s="27" t="s">
        <v>75</v>
      </c>
      <c r="C175" s="15">
        <v>15</v>
      </c>
    </row>
    <row r="176" spans="1:4" s="13" customFormat="1" ht="12" x14ac:dyDescent="0.3">
      <c r="A176" s="435"/>
      <c r="B176" s="27" t="s">
        <v>76</v>
      </c>
      <c r="C176" s="15">
        <v>49</v>
      </c>
    </row>
    <row r="177" spans="1:3" s="13" customFormat="1" ht="12" x14ac:dyDescent="0.3">
      <c r="A177" s="435"/>
      <c r="B177" s="27" t="s">
        <v>77</v>
      </c>
      <c r="C177" s="15">
        <v>224</v>
      </c>
    </row>
    <row r="178" spans="1:3" s="26" customFormat="1" ht="11.4" x14ac:dyDescent="0.3">
      <c r="A178" s="435"/>
      <c r="B178" s="11" t="s">
        <v>74</v>
      </c>
      <c r="C178" s="12">
        <v>81600</v>
      </c>
    </row>
    <row r="179" spans="1:3" s="13" customFormat="1" ht="12" x14ac:dyDescent="0.3">
      <c r="A179" s="435"/>
      <c r="B179" s="27" t="s">
        <v>75</v>
      </c>
      <c r="C179" s="15">
        <v>24</v>
      </c>
    </row>
    <row r="180" spans="1:3" s="13" customFormat="1" ht="12" x14ac:dyDescent="0.3">
      <c r="A180" s="435"/>
      <c r="B180" s="27" t="s">
        <v>76</v>
      </c>
      <c r="C180" s="15">
        <v>20</v>
      </c>
    </row>
    <row r="181" spans="1:3" s="13" customFormat="1" ht="12" x14ac:dyDescent="0.3">
      <c r="A181" s="435"/>
      <c r="B181" s="27" t="s">
        <v>77</v>
      </c>
      <c r="C181" s="15">
        <v>170</v>
      </c>
    </row>
    <row r="182" spans="1:3" s="26" customFormat="1" ht="11.4" x14ac:dyDescent="0.3">
      <c r="A182" s="435"/>
      <c r="B182" s="11" t="s">
        <v>71</v>
      </c>
      <c r="C182" s="12">
        <v>33600</v>
      </c>
    </row>
    <row r="183" spans="1:3" s="26" customFormat="1" ht="11.4" x14ac:dyDescent="0.3">
      <c r="A183" s="435"/>
      <c r="B183" s="25" t="s">
        <v>39</v>
      </c>
      <c r="C183" s="24">
        <v>20000</v>
      </c>
    </row>
    <row r="184" spans="1:3" s="26" customFormat="1" ht="11.4" x14ac:dyDescent="0.3">
      <c r="A184" s="435"/>
      <c r="B184" s="25"/>
      <c r="C184" s="24"/>
    </row>
    <row r="185" spans="1:3" s="26" customFormat="1" ht="11.4" x14ac:dyDescent="0.3">
      <c r="A185" s="435"/>
      <c r="B185" s="25"/>
      <c r="C185" s="24"/>
    </row>
    <row r="186" spans="1:3" s="26" customFormat="1" ht="11.4" x14ac:dyDescent="0.3">
      <c r="A186" s="435"/>
      <c r="B186" s="25"/>
      <c r="C186" s="24"/>
    </row>
    <row r="187" spans="1:3" s="26" customFormat="1" ht="11.4" x14ac:dyDescent="0.3">
      <c r="A187" s="435"/>
      <c r="B187" s="25"/>
      <c r="C187" s="24"/>
    </row>
    <row r="188" spans="1:3" s="26" customFormat="1" ht="11.4" x14ac:dyDescent="0.3">
      <c r="A188" s="435"/>
      <c r="B188" s="25"/>
      <c r="C188" s="24"/>
    </row>
    <row r="189" spans="1:3" s="26" customFormat="1" ht="11.4" x14ac:dyDescent="0.3">
      <c r="A189" s="435"/>
      <c r="B189" s="25"/>
      <c r="C189" s="24"/>
    </row>
    <row r="190" spans="1:3" s="26" customFormat="1" ht="11.4" x14ac:dyDescent="0.3">
      <c r="A190" s="435"/>
      <c r="B190" s="11" t="s">
        <v>22</v>
      </c>
      <c r="C190" s="12">
        <v>20000</v>
      </c>
    </row>
    <row r="191" spans="1:3" s="26" customFormat="1" ht="11.4" x14ac:dyDescent="0.3">
      <c r="A191" s="435"/>
      <c r="B191" s="25" t="s">
        <v>283</v>
      </c>
      <c r="C191" s="24">
        <v>6600</v>
      </c>
    </row>
    <row r="192" spans="1:3" s="26" customFormat="1" ht="11.4" x14ac:dyDescent="0.3">
      <c r="A192" s="435"/>
      <c r="B192" s="25"/>
      <c r="C192" s="24"/>
    </row>
    <row r="193" spans="1:3" s="26" customFormat="1" ht="11.4" x14ac:dyDescent="0.3">
      <c r="A193" s="435"/>
      <c r="B193" s="25"/>
      <c r="C193" s="24"/>
    </row>
    <row r="194" spans="1:3" s="26" customFormat="1" ht="11.4" x14ac:dyDescent="0.3">
      <c r="A194" s="435"/>
      <c r="B194" s="25"/>
      <c r="C194" s="24"/>
    </row>
    <row r="195" spans="1:3" s="26" customFormat="1" ht="11.4" x14ac:dyDescent="0.3">
      <c r="A195" s="435"/>
      <c r="B195" s="25"/>
      <c r="C195" s="24"/>
    </row>
    <row r="196" spans="1:3" s="26" customFormat="1" ht="11.4" x14ac:dyDescent="0.3">
      <c r="A196" s="435"/>
      <c r="B196" s="25"/>
      <c r="C196" s="24"/>
    </row>
    <row r="197" spans="1:3" s="26" customFormat="1" ht="11.4" x14ac:dyDescent="0.3">
      <c r="A197" s="435"/>
      <c r="B197" s="25" t="s">
        <v>72</v>
      </c>
      <c r="C197" s="24">
        <v>7500</v>
      </c>
    </row>
    <row r="198" spans="1:3" s="26" customFormat="1" ht="11.4" x14ac:dyDescent="0.3">
      <c r="A198" s="435"/>
      <c r="B198" s="25"/>
      <c r="C198" s="24"/>
    </row>
    <row r="199" spans="1:3" s="26" customFormat="1" ht="11.4" x14ac:dyDescent="0.3">
      <c r="A199" s="435"/>
      <c r="B199" s="25"/>
      <c r="C199" s="24"/>
    </row>
    <row r="200" spans="1:3" s="26" customFormat="1" ht="11.4" x14ac:dyDescent="0.3">
      <c r="A200" s="435"/>
      <c r="B200" s="25"/>
      <c r="C200" s="24"/>
    </row>
    <row r="201" spans="1:3" s="26" customFormat="1" ht="11.4" x14ac:dyDescent="0.3">
      <c r="A201" s="435"/>
      <c r="B201" s="25"/>
      <c r="C201" s="24"/>
    </row>
    <row r="202" spans="1:3" s="26" customFormat="1" ht="11.4" x14ac:dyDescent="0.3">
      <c r="A202" s="435"/>
      <c r="B202" s="25"/>
      <c r="C202" s="24"/>
    </row>
    <row r="203" spans="1:3" s="26" customFormat="1" ht="11.4" x14ac:dyDescent="0.3">
      <c r="A203" s="435"/>
      <c r="B203" s="25"/>
      <c r="C203" s="24"/>
    </row>
    <row r="204" spans="1:3" s="26" customFormat="1" ht="11.4" x14ac:dyDescent="0.3">
      <c r="A204" s="435"/>
      <c r="B204" s="11" t="s">
        <v>53</v>
      </c>
      <c r="C204" s="12">
        <v>500</v>
      </c>
    </row>
    <row r="205" spans="1:3" s="26" customFormat="1" ht="11.4" x14ac:dyDescent="0.3">
      <c r="A205" s="435"/>
      <c r="B205" s="25" t="s">
        <v>73</v>
      </c>
      <c r="C205" s="24"/>
    </row>
    <row r="206" spans="1:3" s="26" customFormat="1" ht="11.4" x14ac:dyDescent="0.3">
      <c r="A206" s="435"/>
      <c r="B206" s="11" t="s">
        <v>38</v>
      </c>
      <c r="C206" s="12">
        <v>351295</v>
      </c>
    </row>
    <row r="207" spans="1:3" s="13" customFormat="1" ht="12" x14ac:dyDescent="0.3">
      <c r="A207" s="435"/>
      <c r="B207" s="27" t="s">
        <v>117</v>
      </c>
      <c r="C207" s="15">
        <v>29872</v>
      </c>
    </row>
    <row r="208" spans="1:3" s="13" customFormat="1" ht="12" x14ac:dyDescent="0.3">
      <c r="A208" s="435"/>
      <c r="B208" s="27" t="s">
        <v>118</v>
      </c>
      <c r="C208" s="15">
        <v>33.6</v>
      </c>
    </row>
    <row r="209" spans="1:4" s="13" customFormat="1" ht="12" x14ac:dyDescent="0.3">
      <c r="A209" s="435"/>
      <c r="B209" s="27" t="s">
        <v>85</v>
      </c>
      <c r="C209" s="15">
        <v>10037</v>
      </c>
    </row>
    <row r="210" spans="1:4" s="13" customFormat="1" ht="12" x14ac:dyDescent="0.3">
      <c r="A210" s="435"/>
      <c r="B210" s="27" t="s">
        <v>116</v>
      </c>
      <c r="C210" s="15">
        <v>35</v>
      </c>
    </row>
    <row r="211" spans="1:4" s="26" customFormat="1" ht="11.4" x14ac:dyDescent="0.3">
      <c r="A211" s="435"/>
      <c r="B211" s="11" t="s">
        <v>23</v>
      </c>
      <c r="C211" s="12"/>
    </row>
    <row r="212" spans="1:4" s="13" customFormat="1" ht="12" x14ac:dyDescent="0.3">
      <c r="A212" s="435"/>
      <c r="B212" s="27" t="s">
        <v>67</v>
      </c>
      <c r="C212" s="15"/>
    </row>
    <row r="213" spans="1:4" s="13" customFormat="1" ht="12" x14ac:dyDescent="0.3">
      <c r="A213" s="435"/>
      <c r="B213" s="27" t="s">
        <v>119</v>
      </c>
      <c r="C213" s="15"/>
    </row>
    <row r="214" spans="1:4" s="26" customFormat="1" ht="11.4" x14ac:dyDescent="0.3">
      <c r="A214" s="435"/>
      <c r="B214" s="11" t="s">
        <v>24</v>
      </c>
      <c r="C214" s="29"/>
    </row>
    <row r="215" spans="1:4" s="13" customFormat="1" ht="12" x14ac:dyDescent="0.3">
      <c r="A215" s="435"/>
      <c r="B215" s="27" t="s">
        <v>67</v>
      </c>
      <c r="C215" s="15"/>
    </row>
    <row r="216" spans="1:4" s="13" customFormat="1" ht="12" x14ac:dyDescent="0.3">
      <c r="A216" s="435"/>
      <c r="B216" s="27" t="s">
        <v>120</v>
      </c>
      <c r="C216" s="15"/>
    </row>
    <row r="217" spans="1:4" s="13" customFormat="1" ht="18.75" customHeight="1" x14ac:dyDescent="0.3">
      <c r="A217" s="436"/>
      <c r="B217" s="16" t="s">
        <v>86</v>
      </c>
      <c r="C217" s="17">
        <f>C170+C174+C178+C182+C183+C190+C191+C197+C204+C211+C214+C206</f>
        <v>767335</v>
      </c>
      <c r="D217" s="30">
        <f>C170+C174+C178+C182+C183+C190+C191+C197+C204+C206</f>
        <v>767335</v>
      </c>
    </row>
    <row r="218" spans="1:4" s="13" customFormat="1" ht="18.75" customHeight="1" x14ac:dyDescent="0.3">
      <c r="A218" s="440">
        <v>310</v>
      </c>
      <c r="B218" s="228" t="s">
        <v>266</v>
      </c>
      <c r="C218" s="35">
        <v>45000</v>
      </c>
      <c r="D218" s="30"/>
    </row>
    <row r="219" spans="1:4" s="13" customFormat="1" ht="18.75" customHeight="1" x14ac:dyDescent="0.3">
      <c r="A219" s="440"/>
      <c r="B219" s="228" t="s">
        <v>284</v>
      </c>
      <c r="C219" s="35">
        <v>400000</v>
      </c>
      <c r="D219" s="30"/>
    </row>
    <row r="220" spans="1:4" s="13" customFormat="1" ht="18.75" customHeight="1" x14ac:dyDescent="0.3">
      <c r="A220" s="440"/>
      <c r="B220" s="16" t="s">
        <v>127</v>
      </c>
      <c r="C220" s="17">
        <f>C218+C219</f>
        <v>445000</v>
      </c>
      <c r="D220" s="30"/>
    </row>
    <row r="221" spans="1:4" s="31" customFormat="1" ht="26.25" customHeight="1" x14ac:dyDescent="0.3">
      <c r="A221" s="438" t="s">
        <v>121</v>
      </c>
      <c r="B221" s="439"/>
      <c r="C221" s="34">
        <f>C12+C13+C23+C27+C46+C102+C166+C169+C217+C220</f>
        <v>5281869.9639999997</v>
      </c>
    </row>
    <row r="222" spans="1:4" s="31" customFormat="1" ht="14.4" x14ac:dyDescent="0.3">
      <c r="A222" s="438" t="s">
        <v>122</v>
      </c>
      <c r="B222" s="439"/>
      <c r="C222" s="34">
        <v>4836869.96</v>
      </c>
    </row>
    <row r="223" spans="1:4" s="31" customFormat="1" ht="14.4" x14ac:dyDescent="0.3">
      <c r="A223" s="438" t="s">
        <v>123</v>
      </c>
      <c r="B223" s="439"/>
      <c r="C223" s="34">
        <v>4836869.96</v>
      </c>
    </row>
    <row r="224" spans="1:4" s="31" customFormat="1" ht="40.950000000000003" customHeight="1" x14ac:dyDescent="0.3">
      <c r="A224" s="480" t="s">
        <v>285</v>
      </c>
      <c r="B224" s="480"/>
      <c r="C224" s="480"/>
    </row>
    <row r="225" spans="1:4" s="31" customFormat="1" ht="60" customHeight="1" x14ac:dyDescent="0.3">
      <c r="A225" s="437" t="s">
        <v>286</v>
      </c>
      <c r="B225" s="437"/>
      <c r="C225" s="437"/>
    </row>
    <row r="226" spans="1:4" s="31" customFormat="1" ht="14.4" x14ac:dyDescent="0.3">
      <c r="A226" s="229"/>
      <c r="B226" s="230"/>
      <c r="C226" s="231"/>
      <c r="D226" s="232"/>
    </row>
    <row r="227" spans="1:4" s="31" customFormat="1" ht="14.4" x14ac:dyDescent="0.3">
      <c r="A227" s="233"/>
      <c r="B227" s="233"/>
      <c r="C227" s="234"/>
    </row>
    <row r="228" spans="1:4" s="31" customFormat="1" x14ac:dyDescent="0.3">
      <c r="A228" s="5"/>
      <c r="B228" s="33"/>
      <c r="C228" s="32"/>
    </row>
    <row r="229" spans="1:4" s="31" customFormat="1" x14ac:dyDescent="0.3">
      <c r="A229" s="5"/>
      <c r="C229" s="32"/>
    </row>
    <row r="230" spans="1:4" s="31" customFormat="1" x14ac:dyDescent="0.3">
      <c r="A230" s="5"/>
      <c r="B230" s="33"/>
      <c r="C230" s="32"/>
    </row>
    <row r="231" spans="1:4" s="31" customFormat="1" x14ac:dyDescent="0.3">
      <c r="A231" s="5"/>
      <c r="C231" s="32"/>
    </row>
    <row r="232" spans="1:4" s="31" customFormat="1" x14ac:dyDescent="0.3">
      <c r="A232" s="5"/>
      <c r="B232" s="33"/>
      <c r="C232" s="32"/>
    </row>
    <row r="233" spans="1:4" s="31" customFormat="1" x14ac:dyDescent="0.3">
      <c r="A233" s="5"/>
      <c r="C233" s="32"/>
    </row>
    <row r="234" spans="1:4" s="31" customFormat="1" x14ac:dyDescent="0.3">
      <c r="A234" s="5"/>
      <c r="C234" s="32"/>
    </row>
    <row r="235" spans="1:4" s="31" customFormat="1" x14ac:dyDescent="0.3">
      <c r="A235" s="5"/>
      <c r="C235" s="32"/>
    </row>
    <row r="236" spans="1:4" s="31" customFormat="1" x14ac:dyDescent="0.3">
      <c r="A236" s="5"/>
      <c r="C236" s="32"/>
    </row>
    <row r="237" spans="1:4" s="31" customFormat="1" x14ac:dyDescent="0.3">
      <c r="A237" s="5"/>
      <c r="C237" s="32"/>
    </row>
    <row r="238" spans="1:4" s="31" customFormat="1" x14ac:dyDescent="0.3">
      <c r="A238" s="5"/>
      <c r="C238" s="32"/>
    </row>
    <row r="239" spans="1:4" s="31" customFormat="1" x14ac:dyDescent="0.3">
      <c r="A239" s="5"/>
      <c r="C239" s="32"/>
    </row>
    <row r="240" spans="1:4" s="31" customFormat="1" x14ac:dyDescent="0.3">
      <c r="A240" s="5"/>
      <c r="C240" s="32"/>
    </row>
    <row r="241" spans="1:3" s="31" customFormat="1" x14ac:dyDescent="0.3">
      <c r="A241" s="5"/>
      <c r="C241" s="32"/>
    </row>
    <row r="242" spans="1:3" s="31" customFormat="1" x14ac:dyDescent="0.3">
      <c r="A242" s="5"/>
      <c r="C242" s="32"/>
    </row>
    <row r="243" spans="1:3" s="31" customFormat="1" x14ac:dyDescent="0.3">
      <c r="A243" s="5"/>
      <c r="C243" s="32"/>
    </row>
    <row r="244" spans="1:3" s="31" customFormat="1" x14ac:dyDescent="0.3">
      <c r="A244" s="5"/>
      <c r="C244" s="32"/>
    </row>
    <row r="245" spans="1:3" s="31" customFormat="1" x14ac:dyDescent="0.3">
      <c r="A245" s="5"/>
      <c r="C245" s="32"/>
    </row>
    <row r="246" spans="1:3" s="31" customFormat="1" x14ac:dyDescent="0.3">
      <c r="A246" s="5"/>
      <c r="C246" s="32"/>
    </row>
    <row r="247" spans="1:3" s="31" customFormat="1" x14ac:dyDescent="0.3">
      <c r="A247" s="5"/>
      <c r="C247" s="32"/>
    </row>
    <row r="248" spans="1:3" s="31" customFormat="1" x14ac:dyDescent="0.3">
      <c r="A248" s="5"/>
      <c r="C248" s="32"/>
    </row>
    <row r="249" spans="1:3" s="31" customFormat="1" x14ac:dyDescent="0.3">
      <c r="A249" s="5"/>
      <c r="C249" s="32"/>
    </row>
    <row r="250" spans="1:3" s="31" customFormat="1" x14ac:dyDescent="0.3">
      <c r="A250" s="5"/>
      <c r="C250" s="32"/>
    </row>
    <row r="251" spans="1:3" s="31" customFormat="1" x14ac:dyDescent="0.3">
      <c r="A251" s="5"/>
      <c r="C251" s="32"/>
    </row>
    <row r="252" spans="1:3" s="31" customFormat="1" x14ac:dyDescent="0.3">
      <c r="A252" s="5"/>
      <c r="C252" s="32"/>
    </row>
    <row r="253" spans="1:3" s="31" customFormat="1" x14ac:dyDescent="0.3">
      <c r="A253" s="5"/>
      <c r="C253" s="32"/>
    </row>
    <row r="254" spans="1:3" s="31" customFormat="1" x14ac:dyDescent="0.3">
      <c r="A254" s="5"/>
      <c r="C254" s="32"/>
    </row>
    <row r="255" spans="1:3" s="31" customFormat="1" x14ac:dyDescent="0.3">
      <c r="A255" s="5"/>
      <c r="C255" s="32"/>
    </row>
    <row r="256" spans="1:3" s="31" customFormat="1" x14ac:dyDescent="0.3">
      <c r="A256" s="5"/>
      <c r="C256" s="32"/>
    </row>
    <row r="257" spans="1:3" s="31" customFormat="1" x14ac:dyDescent="0.3">
      <c r="A257" s="5"/>
      <c r="C257" s="32"/>
    </row>
    <row r="258" spans="1:3" s="31" customFormat="1" x14ac:dyDescent="0.3">
      <c r="A258" s="5"/>
      <c r="C258" s="32"/>
    </row>
    <row r="259" spans="1:3" s="31" customFormat="1" x14ac:dyDescent="0.3">
      <c r="A259" s="5"/>
      <c r="C259" s="32"/>
    </row>
    <row r="260" spans="1:3" s="31" customFormat="1" x14ac:dyDescent="0.3">
      <c r="A260" s="5"/>
      <c r="C260" s="32"/>
    </row>
    <row r="261" spans="1:3" s="31" customFormat="1" x14ac:dyDescent="0.3">
      <c r="A261" s="5"/>
      <c r="C261" s="32"/>
    </row>
    <row r="262" spans="1:3" s="31" customFormat="1" x14ac:dyDescent="0.3">
      <c r="A262" s="5"/>
      <c r="C262" s="32"/>
    </row>
    <row r="263" spans="1:3" s="31" customFormat="1" x14ac:dyDescent="0.3">
      <c r="A263" s="5"/>
      <c r="C263" s="32"/>
    </row>
    <row r="264" spans="1:3" s="31" customFormat="1" x14ac:dyDescent="0.3">
      <c r="A264" s="5"/>
      <c r="C264" s="32"/>
    </row>
    <row r="265" spans="1:3" s="31" customFormat="1" x14ac:dyDescent="0.3">
      <c r="A265" s="5"/>
      <c r="C265" s="32"/>
    </row>
    <row r="266" spans="1:3" s="31" customFormat="1" x14ac:dyDescent="0.3">
      <c r="A266" s="5"/>
      <c r="C266" s="32"/>
    </row>
    <row r="267" spans="1:3" s="31" customFormat="1" x14ac:dyDescent="0.3">
      <c r="A267" s="5"/>
      <c r="C267" s="32"/>
    </row>
    <row r="268" spans="1:3" s="31" customFormat="1" x14ac:dyDescent="0.3">
      <c r="A268" s="5"/>
      <c r="C268" s="32"/>
    </row>
    <row r="269" spans="1:3" s="31" customFormat="1" x14ac:dyDescent="0.3">
      <c r="A269" s="5"/>
      <c r="C269" s="32"/>
    </row>
    <row r="270" spans="1:3" s="31" customFormat="1" x14ac:dyDescent="0.3">
      <c r="A270" s="5"/>
      <c r="C270" s="32"/>
    </row>
    <row r="271" spans="1:3" s="31" customFormat="1" x14ac:dyDescent="0.3">
      <c r="A271" s="5"/>
      <c r="C271" s="32"/>
    </row>
    <row r="272" spans="1:3" s="31" customFormat="1" x14ac:dyDescent="0.3">
      <c r="A272" s="5"/>
      <c r="C272" s="32"/>
    </row>
    <row r="273" spans="1:3" s="31" customFormat="1" x14ac:dyDescent="0.3">
      <c r="A273" s="5"/>
      <c r="C273" s="32"/>
    </row>
    <row r="274" spans="1:3" s="31" customFormat="1" x14ac:dyDescent="0.3">
      <c r="A274" s="5"/>
      <c r="C274" s="32"/>
    </row>
    <row r="275" spans="1:3" s="31" customFormat="1" x14ac:dyDescent="0.3">
      <c r="A275" s="5"/>
      <c r="C275" s="32"/>
    </row>
    <row r="276" spans="1:3" s="31" customFormat="1" x14ac:dyDescent="0.3">
      <c r="A276" s="5"/>
      <c r="C276" s="32"/>
    </row>
    <row r="277" spans="1:3" s="31" customFormat="1" x14ac:dyDescent="0.3">
      <c r="A277" s="5"/>
      <c r="C277" s="32"/>
    </row>
    <row r="278" spans="1:3" s="31" customFormat="1" x14ac:dyDescent="0.3">
      <c r="A278" s="5"/>
      <c r="C278" s="32"/>
    </row>
    <row r="279" spans="1:3" s="31" customFormat="1" x14ac:dyDescent="0.3">
      <c r="A279" s="5"/>
      <c r="C279" s="32"/>
    </row>
    <row r="280" spans="1:3" s="31" customFormat="1" x14ac:dyDescent="0.3">
      <c r="A280" s="5"/>
      <c r="C280" s="32"/>
    </row>
    <row r="281" spans="1:3" s="31" customFormat="1" x14ac:dyDescent="0.3">
      <c r="A281" s="5"/>
      <c r="C281" s="32"/>
    </row>
    <row r="282" spans="1:3" s="31" customFormat="1" x14ac:dyDescent="0.3">
      <c r="A282" s="5"/>
      <c r="C282" s="32"/>
    </row>
    <row r="283" spans="1:3" s="31" customFormat="1" x14ac:dyDescent="0.3">
      <c r="A283" s="5"/>
      <c r="C283" s="32"/>
    </row>
    <row r="284" spans="1:3" s="31" customFormat="1" x14ac:dyDescent="0.3">
      <c r="A284" s="5"/>
      <c r="C284" s="32"/>
    </row>
    <row r="285" spans="1:3" x14ac:dyDescent="0.25">
      <c r="C285" s="8"/>
    </row>
    <row r="286" spans="1:3" x14ac:dyDescent="0.25">
      <c r="C286" s="8"/>
    </row>
    <row r="287" spans="1:3" x14ac:dyDescent="0.25">
      <c r="C287" s="8"/>
    </row>
    <row r="288" spans="1:3" x14ac:dyDescent="0.25">
      <c r="C288" s="8"/>
    </row>
    <row r="289" spans="3:3" x14ac:dyDescent="0.25">
      <c r="C289" s="8"/>
    </row>
    <row r="290" spans="3:3" x14ac:dyDescent="0.25">
      <c r="C290" s="8"/>
    </row>
    <row r="291" spans="3:3" x14ac:dyDescent="0.25">
      <c r="C291" s="8"/>
    </row>
    <row r="292" spans="3:3" x14ac:dyDescent="0.25">
      <c r="C292" s="8"/>
    </row>
  </sheetData>
  <mergeCells count="17">
    <mergeCell ref="A225:C225"/>
    <mergeCell ref="A28:A46"/>
    <mergeCell ref="A3:C3"/>
    <mergeCell ref="B4:C4"/>
    <mergeCell ref="A6:A12"/>
    <mergeCell ref="A14:A23"/>
    <mergeCell ref="A24:A27"/>
    <mergeCell ref="A218:A220"/>
    <mergeCell ref="A221:B221"/>
    <mergeCell ref="A222:B222"/>
    <mergeCell ref="A223:B223"/>
    <mergeCell ref="A224:C224"/>
    <mergeCell ref="B1:D1"/>
    <mergeCell ref="A47:A102"/>
    <mergeCell ref="A103:A166"/>
    <mergeCell ref="A167:A169"/>
    <mergeCell ref="A170:A217"/>
  </mergeCells>
  <pageMargins left="0.7" right="0.7" top="0.75" bottom="0.75" header="0.3" footer="0.3"/>
  <pageSetup paperSize="9"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E288"/>
  <sheetViews>
    <sheetView view="pageBreakPreview" topLeftCell="A208" zoomScale="90" zoomScaleSheetLayoutView="90" workbookViewId="0">
      <selection activeCell="E181" sqref="E181"/>
    </sheetView>
  </sheetViews>
  <sheetFormatPr defaultColWidth="9.109375" defaultRowHeight="13.8" x14ac:dyDescent="0.25"/>
  <cols>
    <col min="1" max="1" width="5" style="5" customWidth="1"/>
    <col min="2" max="2" width="30.109375" style="1" customWidth="1"/>
    <col min="3" max="3" width="41" style="3" customWidth="1"/>
    <col min="4" max="4" width="14.88671875" style="1" customWidth="1"/>
    <col min="5" max="16384" width="9.109375" style="1"/>
  </cols>
  <sheetData>
    <row r="1" spans="1:4" ht="55.5" customHeight="1" x14ac:dyDescent="0.25">
      <c r="B1" s="470" t="s">
        <v>124</v>
      </c>
      <c r="C1" s="470"/>
      <c r="D1" s="470"/>
    </row>
    <row r="2" spans="1:4" x14ac:dyDescent="0.25">
      <c r="C2" s="4" t="s">
        <v>95</v>
      </c>
    </row>
    <row r="3" spans="1:4" ht="17.25" customHeight="1" x14ac:dyDescent="0.25">
      <c r="A3" s="437" t="s">
        <v>97</v>
      </c>
      <c r="B3" s="437"/>
      <c r="C3" s="437"/>
    </row>
    <row r="4" spans="1:4" ht="17.25" customHeight="1" x14ac:dyDescent="0.25">
      <c r="A4" s="7"/>
      <c r="B4" s="441" t="s">
        <v>267</v>
      </c>
      <c r="C4" s="441"/>
    </row>
    <row r="5" spans="1:4" s="2" customFormat="1" ht="27" customHeight="1" x14ac:dyDescent="0.25">
      <c r="A5" s="177"/>
      <c r="B5" s="6"/>
      <c r="C5" s="177" t="s">
        <v>99</v>
      </c>
    </row>
    <row r="6" spans="1:4" s="13" customFormat="1" ht="12" x14ac:dyDescent="0.3">
      <c r="A6" s="440">
        <v>211</v>
      </c>
      <c r="B6" s="11" t="s">
        <v>100</v>
      </c>
      <c r="C6" s="12"/>
    </row>
    <row r="7" spans="1:4" s="13" customFormat="1" ht="12" x14ac:dyDescent="0.3">
      <c r="A7" s="440"/>
      <c r="B7" s="14" t="s">
        <v>55</v>
      </c>
      <c r="C7" s="15"/>
    </row>
    <row r="8" spans="1:4" s="13" customFormat="1" ht="12" x14ac:dyDescent="0.3">
      <c r="A8" s="440"/>
      <c r="B8" s="14" t="s">
        <v>56</v>
      </c>
      <c r="C8" s="15"/>
    </row>
    <row r="9" spans="1:4" s="13" customFormat="1" ht="12" x14ac:dyDescent="0.3">
      <c r="A9" s="440"/>
      <c r="B9" s="11" t="s">
        <v>57</v>
      </c>
      <c r="C9" s="12">
        <v>565992</v>
      </c>
    </row>
    <row r="10" spans="1:4" s="13" customFormat="1" ht="12" x14ac:dyDescent="0.3">
      <c r="A10" s="440"/>
      <c r="B10" s="14" t="s">
        <v>55</v>
      </c>
      <c r="C10" s="15">
        <v>6.15</v>
      </c>
    </row>
    <row r="11" spans="1:4" s="13" customFormat="1" ht="12" x14ac:dyDescent="0.3">
      <c r="A11" s="440"/>
      <c r="B11" s="14" t="s">
        <v>56</v>
      </c>
      <c r="C11" s="15">
        <v>47166</v>
      </c>
    </row>
    <row r="12" spans="1:4" s="13" customFormat="1" ht="17.25" customHeight="1" x14ac:dyDescent="0.3">
      <c r="A12" s="440"/>
      <c r="B12" s="16" t="s">
        <v>94</v>
      </c>
      <c r="C12" s="17">
        <v>565992</v>
      </c>
    </row>
    <row r="13" spans="1:4" s="13" customFormat="1" ht="16.5" customHeight="1" x14ac:dyDescent="0.3">
      <c r="A13" s="10">
        <v>213</v>
      </c>
      <c r="B13" s="16" t="s">
        <v>93</v>
      </c>
      <c r="C13" s="17">
        <v>170929.58</v>
      </c>
    </row>
    <row r="14" spans="1:4" s="13" customFormat="1" ht="12" x14ac:dyDescent="0.3">
      <c r="A14" s="440">
        <v>221</v>
      </c>
      <c r="B14" s="18" t="s">
        <v>58</v>
      </c>
      <c r="C14" s="12">
        <v>6000</v>
      </c>
    </row>
    <row r="15" spans="1:4" s="13" customFormat="1" ht="12" x14ac:dyDescent="0.3">
      <c r="A15" s="440"/>
      <c r="B15" s="14" t="s">
        <v>59</v>
      </c>
      <c r="C15" s="15">
        <v>1</v>
      </c>
    </row>
    <row r="16" spans="1:4" s="13" customFormat="1" ht="12" x14ac:dyDescent="0.3">
      <c r="A16" s="440"/>
      <c r="B16" s="14" t="s">
        <v>61</v>
      </c>
      <c r="C16" s="15">
        <v>500</v>
      </c>
    </row>
    <row r="17" spans="1:4" s="13" customFormat="1" ht="12" x14ac:dyDescent="0.3">
      <c r="A17" s="440"/>
      <c r="B17" s="18" t="s">
        <v>0</v>
      </c>
      <c r="C17" s="12"/>
    </row>
    <row r="18" spans="1:4" s="13" customFormat="1" ht="12" x14ac:dyDescent="0.3">
      <c r="A18" s="440"/>
      <c r="B18" s="14" t="s">
        <v>79</v>
      </c>
      <c r="C18" s="15"/>
    </row>
    <row r="19" spans="1:4" s="13" customFormat="1" ht="12" x14ac:dyDescent="0.3">
      <c r="A19" s="440"/>
      <c r="B19" s="14" t="s">
        <v>60</v>
      </c>
      <c r="C19" s="15"/>
    </row>
    <row r="20" spans="1:4" s="13" customFormat="1" ht="12" x14ac:dyDescent="0.3">
      <c r="A20" s="440"/>
      <c r="B20" s="18" t="s">
        <v>1</v>
      </c>
      <c r="C20" s="12"/>
    </row>
    <row r="21" spans="1:4" s="13" customFormat="1" ht="12" x14ac:dyDescent="0.3">
      <c r="A21" s="440"/>
      <c r="B21" s="14" t="s">
        <v>80</v>
      </c>
      <c r="C21" s="15"/>
    </row>
    <row r="22" spans="1:4" s="13" customFormat="1" ht="12" x14ac:dyDescent="0.3">
      <c r="A22" s="440"/>
      <c r="B22" s="14" t="s">
        <v>107</v>
      </c>
      <c r="C22" s="15"/>
    </row>
    <row r="23" spans="1:4" s="13" customFormat="1" ht="12" x14ac:dyDescent="0.3">
      <c r="A23" s="440"/>
      <c r="B23" s="16" t="s">
        <v>92</v>
      </c>
      <c r="C23" s="17">
        <v>6000</v>
      </c>
    </row>
    <row r="24" spans="1:4" s="13" customFormat="1" ht="12" x14ac:dyDescent="0.3">
      <c r="A24" s="440">
        <v>222</v>
      </c>
      <c r="B24" s="18" t="s">
        <v>62</v>
      </c>
      <c r="C24" s="19">
        <v>4000</v>
      </c>
    </row>
    <row r="25" spans="1:4" s="13" customFormat="1" ht="12" x14ac:dyDescent="0.3">
      <c r="A25" s="440"/>
      <c r="B25" s="14" t="s">
        <v>81</v>
      </c>
      <c r="C25" s="15">
        <v>40</v>
      </c>
    </row>
    <row r="26" spans="1:4" s="13" customFormat="1" ht="12" x14ac:dyDescent="0.3">
      <c r="A26" s="440"/>
      <c r="B26" s="14" t="s">
        <v>106</v>
      </c>
      <c r="C26" s="15">
        <v>100</v>
      </c>
    </row>
    <row r="27" spans="1:4" s="13" customFormat="1" ht="12" x14ac:dyDescent="0.3">
      <c r="A27" s="440"/>
      <c r="B27" s="16" t="s">
        <v>91</v>
      </c>
      <c r="C27" s="17">
        <v>4000</v>
      </c>
    </row>
    <row r="28" spans="1:4" s="13" customFormat="1" ht="12" x14ac:dyDescent="0.3">
      <c r="A28" s="440">
        <v>223</v>
      </c>
      <c r="B28" s="11" t="s">
        <v>2</v>
      </c>
      <c r="C28" s="12">
        <v>169800</v>
      </c>
      <c r="D28" s="13">
        <f>C29*C30</f>
        <v>169800</v>
      </c>
    </row>
    <row r="29" spans="1:4" s="13" customFormat="1" ht="12" x14ac:dyDescent="0.3">
      <c r="A29" s="440"/>
      <c r="B29" s="14" t="s">
        <v>82</v>
      </c>
      <c r="C29" s="15">
        <v>28300</v>
      </c>
    </row>
    <row r="30" spans="1:4" s="13" customFormat="1" ht="12" x14ac:dyDescent="0.3">
      <c r="A30" s="440"/>
      <c r="B30" s="14" t="s">
        <v>108</v>
      </c>
      <c r="C30" s="15">
        <v>6</v>
      </c>
    </row>
    <row r="31" spans="1:4" s="13" customFormat="1" ht="12" x14ac:dyDescent="0.3">
      <c r="A31" s="440"/>
      <c r="B31" s="11" t="s">
        <v>3</v>
      </c>
      <c r="C31" s="12">
        <v>1334535.05</v>
      </c>
      <c r="D31" s="13">
        <f>C32*C33</f>
        <v>1334535.047</v>
      </c>
    </row>
    <row r="32" spans="1:4" s="13" customFormat="1" ht="12" x14ac:dyDescent="0.3">
      <c r="A32" s="440"/>
      <c r="B32" s="14" t="s">
        <v>83</v>
      </c>
      <c r="C32" s="15">
        <v>174.7</v>
      </c>
    </row>
    <row r="33" spans="1:4" s="13" customFormat="1" ht="12" x14ac:dyDescent="0.3">
      <c r="A33" s="440"/>
      <c r="B33" s="14" t="s">
        <v>63</v>
      </c>
      <c r="C33" s="15">
        <v>7639.01</v>
      </c>
    </row>
    <row r="34" spans="1:4" s="13" customFormat="1" ht="12" x14ac:dyDescent="0.3">
      <c r="A34" s="440"/>
      <c r="B34" s="11" t="s">
        <v>4</v>
      </c>
      <c r="C34" s="12">
        <v>24981.41</v>
      </c>
      <c r="D34" s="13">
        <f>C35*C36</f>
        <v>24981.412500000002</v>
      </c>
    </row>
    <row r="35" spans="1:4" s="13" customFormat="1" ht="12" x14ac:dyDescent="0.3">
      <c r="A35" s="440"/>
      <c r="B35" s="14" t="s">
        <v>84</v>
      </c>
      <c r="C35" s="15">
        <v>371.25</v>
      </c>
    </row>
    <row r="36" spans="1:4" s="13" customFormat="1" ht="12" x14ac:dyDescent="0.3">
      <c r="A36" s="440"/>
      <c r="B36" s="14" t="s">
        <v>108</v>
      </c>
      <c r="C36" s="15">
        <v>67.290000000000006</v>
      </c>
    </row>
    <row r="37" spans="1:4" s="13" customFormat="1" ht="12" x14ac:dyDescent="0.3">
      <c r="A37" s="440"/>
      <c r="B37" s="11" t="s">
        <v>29</v>
      </c>
      <c r="C37" s="12"/>
    </row>
    <row r="38" spans="1:4" s="13" customFormat="1" ht="12" x14ac:dyDescent="0.3">
      <c r="A38" s="440"/>
      <c r="B38" s="14" t="s">
        <v>84</v>
      </c>
      <c r="C38" s="15"/>
    </row>
    <row r="39" spans="1:4" s="13" customFormat="1" ht="12" x14ac:dyDescent="0.3">
      <c r="A39" s="440"/>
      <c r="B39" s="14" t="s">
        <v>108</v>
      </c>
      <c r="C39" s="15"/>
    </row>
    <row r="40" spans="1:4" s="13" customFormat="1" ht="12" x14ac:dyDescent="0.3">
      <c r="A40" s="440"/>
      <c r="B40" s="11" t="s">
        <v>5</v>
      </c>
      <c r="C40" s="12">
        <v>14716.35</v>
      </c>
      <c r="D40" s="13">
        <f>C41*C42</f>
        <v>14716.35</v>
      </c>
    </row>
    <row r="41" spans="1:4" s="13" customFormat="1" ht="12" x14ac:dyDescent="0.3">
      <c r="A41" s="440"/>
      <c r="B41" s="14" t="s">
        <v>84</v>
      </c>
      <c r="C41" s="15">
        <v>371.25</v>
      </c>
    </row>
    <row r="42" spans="1:4" s="13" customFormat="1" ht="12" x14ac:dyDescent="0.3">
      <c r="A42" s="440"/>
      <c r="B42" s="14" t="s">
        <v>108</v>
      </c>
      <c r="C42" s="15">
        <v>39.64</v>
      </c>
    </row>
    <row r="43" spans="1:4" s="13" customFormat="1" ht="12" x14ac:dyDescent="0.3">
      <c r="A43" s="440"/>
      <c r="B43" s="11" t="s">
        <v>25</v>
      </c>
      <c r="C43" s="12"/>
    </row>
    <row r="44" spans="1:4" s="13" customFormat="1" ht="12" x14ac:dyDescent="0.3">
      <c r="A44" s="440"/>
      <c r="B44" s="14" t="s">
        <v>67</v>
      </c>
      <c r="C44" s="15"/>
    </row>
    <row r="45" spans="1:4" s="13" customFormat="1" ht="12" x14ac:dyDescent="0.3">
      <c r="A45" s="440"/>
      <c r="B45" s="14" t="s">
        <v>108</v>
      </c>
      <c r="C45" s="15"/>
    </row>
    <row r="46" spans="1:4" s="13" customFormat="1" ht="12" x14ac:dyDescent="0.3">
      <c r="A46" s="440"/>
      <c r="B46" s="16" t="s">
        <v>90</v>
      </c>
      <c r="C46" s="17">
        <f>C28+C31+C34+C40</f>
        <v>1544032.81</v>
      </c>
      <c r="D46" s="30">
        <f>C28+C31+C34+C40</f>
        <v>1544032.81</v>
      </c>
    </row>
    <row r="47" spans="1:4" s="13" customFormat="1" ht="12" x14ac:dyDescent="0.3">
      <c r="A47" s="440"/>
      <c r="B47" s="11" t="s">
        <v>6</v>
      </c>
      <c r="C47" s="12">
        <v>4800</v>
      </c>
    </row>
    <row r="48" spans="1:4" s="13" customFormat="1" ht="12" x14ac:dyDescent="0.3">
      <c r="A48" s="440"/>
      <c r="B48" s="14" t="s">
        <v>84</v>
      </c>
      <c r="C48" s="15">
        <v>12</v>
      </c>
    </row>
    <row r="49" spans="1:4" s="13" customFormat="1" ht="12" x14ac:dyDescent="0.3">
      <c r="A49" s="440"/>
      <c r="B49" s="14" t="s">
        <v>108</v>
      </c>
      <c r="C49" s="15">
        <v>400</v>
      </c>
    </row>
    <row r="50" spans="1:4" s="13" customFormat="1" ht="12" x14ac:dyDescent="0.3">
      <c r="A50" s="440"/>
      <c r="B50" s="11" t="s">
        <v>7</v>
      </c>
      <c r="C50" s="12">
        <v>5479.92</v>
      </c>
    </row>
    <row r="51" spans="1:4" s="13" customFormat="1" ht="12" x14ac:dyDescent="0.3">
      <c r="A51" s="440"/>
      <c r="B51" s="14" t="s">
        <v>70</v>
      </c>
      <c r="C51" s="15">
        <v>900</v>
      </c>
      <c r="D51" s="13" t="s">
        <v>268</v>
      </c>
    </row>
    <row r="52" spans="1:4" s="13" customFormat="1" ht="12" x14ac:dyDescent="0.3">
      <c r="A52" s="440"/>
      <c r="B52" s="14" t="s">
        <v>108</v>
      </c>
      <c r="C52" s="15">
        <v>0.43</v>
      </c>
    </row>
    <row r="53" spans="1:4" s="13" customFormat="1" ht="30.75" customHeight="1" x14ac:dyDescent="0.3">
      <c r="A53" s="440"/>
      <c r="B53" s="11" t="s">
        <v>54</v>
      </c>
      <c r="C53" s="12">
        <v>30600</v>
      </c>
    </row>
    <row r="54" spans="1:4" s="13" customFormat="1" ht="12" x14ac:dyDescent="0.3">
      <c r="A54" s="440"/>
      <c r="B54" s="20" t="s">
        <v>67</v>
      </c>
      <c r="C54" s="21">
        <v>12</v>
      </c>
    </row>
    <row r="55" spans="1:4" s="13" customFormat="1" ht="12" x14ac:dyDescent="0.3">
      <c r="A55" s="440"/>
      <c r="B55" s="14" t="s">
        <v>63</v>
      </c>
      <c r="C55" s="15">
        <v>2550</v>
      </c>
    </row>
    <row r="56" spans="1:4" s="13" customFormat="1" ht="12" x14ac:dyDescent="0.3">
      <c r="A56" s="440"/>
      <c r="B56" s="11" t="s">
        <v>8</v>
      </c>
      <c r="C56" s="12">
        <v>14400</v>
      </c>
    </row>
    <row r="57" spans="1:4" s="13" customFormat="1" ht="12" x14ac:dyDescent="0.3">
      <c r="A57" s="440"/>
      <c r="B57" s="14" t="s">
        <v>109</v>
      </c>
      <c r="C57" s="15">
        <v>12</v>
      </c>
    </row>
    <row r="58" spans="1:4" s="13" customFormat="1" ht="12" x14ac:dyDescent="0.3">
      <c r="A58" s="440"/>
      <c r="B58" s="14" t="s">
        <v>110</v>
      </c>
      <c r="C58" s="15">
        <v>1200</v>
      </c>
    </row>
    <row r="59" spans="1:4" s="13" customFormat="1" ht="12" x14ac:dyDescent="0.3">
      <c r="A59" s="440"/>
      <c r="B59" s="11" t="s">
        <v>28</v>
      </c>
      <c r="C59" s="12"/>
    </row>
    <row r="60" spans="1:4" s="13" customFormat="1" ht="12" x14ac:dyDescent="0.3">
      <c r="A60" s="440"/>
      <c r="B60" s="14" t="s">
        <v>67</v>
      </c>
      <c r="C60" s="15"/>
    </row>
    <row r="61" spans="1:4" s="13" customFormat="1" ht="12" x14ac:dyDescent="0.3">
      <c r="A61" s="440"/>
      <c r="B61" s="14" t="s">
        <v>111</v>
      </c>
      <c r="C61" s="15"/>
    </row>
    <row r="62" spans="1:4" s="13" customFormat="1" ht="12" x14ac:dyDescent="0.3">
      <c r="A62" s="440"/>
      <c r="B62" s="11" t="s">
        <v>96</v>
      </c>
      <c r="C62" s="12">
        <v>7200</v>
      </c>
    </row>
    <row r="63" spans="1:4" s="13" customFormat="1" ht="12" x14ac:dyDescent="0.3">
      <c r="A63" s="440"/>
      <c r="B63" s="14" t="s">
        <v>109</v>
      </c>
      <c r="C63" s="15">
        <v>12</v>
      </c>
    </row>
    <row r="64" spans="1:4" s="13" customFormat="1" ht="12" x14ac:dyDescent="0.3">
      <c r="A64" s="440"/>
      <c r="B64" s="14" t="s">
        <v>110</v>
      </c>
      <c r="C64" s="15">
        <v>600</v>
      </c>
    </row>
    <row r="65" spans="1:3" s="13" customFormat="1" ht="12" x14ac:dyDescent="0.3">
      <c r="A65" s="440"/>
      <c r="B65" s="11" t="s">
        <v>103</v>
      </c>
      <c r="C65" s="12">
        <v>30600</v>
      </c>
    </row>
    <row r="66" spans="1:3" s="13" customFormat="1" ht="12" x14ac:dyDescent="0.3">
      <c r="A66" s="440"/>
      <c r="B66" s="14" t="s">
        <v>109</v>
      </c>
      <c r="C66" s="15">
        <v>12</v>
      </c>
    </row>
    <row r="67" spans="1:3" s="13" customFormat="1" ht="12" x14ac:dyDescent="0.3">
      <c r="A67" s="440"/>
      <c r="B67" s="14" t="s">
        <v>110</v>
      </c>
      <c r="C67" s="15">
        <v>2550</v>
      </c>
    </row>
    <row r="68" spans="1:3" s="13" customFormat="1" ht="12" x14ac:dyDescent="0.3">
      <c r="A68" s="440"/>
      <c r="B68" s="11" t="s">
        <v>26</v>
      </c>
      <c r="C68" s="12">
        <v>6000</v>
      </c>
    </row>
    <row r="69" spans="1:3" s="13" customFormat="1" ht="12" x14ac:dyDescent="0.3">
      <c r="A69" s="440"/>
      <c r="B69" s="14" t="s">
        <v>109</v>
      </c>
      <c r="C69" s="15">
        <v>12</v>
      </c>
    </row>
    <row r="70" spans="1:3" s="13" customFormat="1" ht="12" x14ac:dyDescent="0.3">
      <c r="A70" s="440"/>
      <c r="B70" s="14" t="s">
        <v>110</v>
      </c>
      <c r="C70" s="15">
        <v>500</v>
      </c>
    </row>
    <row r="71" spans="1:3" s="13" customFormat="1" ht="12" x14ac:dyDescent="0.3">
      <c r="A71" s="440"/>
      <c r="B71" s="22" t="s">
        <v>101</v>
      </c>
      <c r="C71" s="12"/>
    </row>
    <row r="72" spans="1:3" s="13" customFormat="1" ht="12" x14ac:dyDescent="0.3">
      <c r="A72" s="440"/>
      <c r="B72" s="23" t="s">
        <v>46</v>
      </c>
      <c r="C72" s="24"/>
    </row>
    <row r="73" spans="1:3" s="13" customFormat="1" ht="12" x14ac:dyDescent="0.3">
      <c r="A73" s="440"/>
      <c r="B73" s="11" t="s">
        <v>102</v>
      </c>
      <c r="C73" s="12"/>
    </row>
    <row r="74" spans="1:3" s="13" customFormat="1" ht="12" x14ac:dyDescent="0.3">
      <c r="A74" s="440"/>
      <c r="B74" s="14" t="s">
        <v>67</v>
      </c>
      <c r="C74" s="15"/>
    </row>
    <row r="75" spans="1:3" s="13" customFormat="1" ht="12" x14ac:dyDescent="0.3">
      <c r="A75" s="440"/>
      <c r="B75" s="14" t="s">
        <v>69</v>
      </c>
      <c r="C75" s="15"/>
    </row>
    <row r="76" spans="1:3" s="13" customFormat="1" ht="12" x14ac:dyDescent="0.3">
      <c r="A76" s="440"/>
      <c r="B76" s="14" t="s">
        <v>105</v>
      </c>
      <c r="C76" s="15"/>
    </row>
    <row r="77" spans="1:3" s="13" customFormat="1" ht="12" x14ac:dyDescent="0.3">
      <c r="A77" s="440"/>
      <c r="B77" s="11" t="s">
        <v>31</v>
      </c>
      <c r="C77" s="12"/>
    </row>
    <row r="78" spans="1:3" s="13" customFormat="1" ht="12" x14ac:dyDescent="0.3">
      <c r="A78" s="440"/>
      <c r="B78" s="14" t="s">
        <v>109</v>
      </c>
      <c r="C78" s="15"/>
    </row>
    <row r="79" spans="1:3" s="13" customFormat="1" ht="12" x14ac:dyDescent="0.3">
      <c r="A79" s="440"/>
      <c r="B79" s="14" t="s">
        <v>110</v>
      </c>
      <c r="C79" s="15"/>
    </row>
    <row r="80" spans="1:3" s="13" customFormat="1" ht="12" x14ac:dyDescent="0.3">
      <c r="A80" s="440"/>
      <c r="B80" s="11" t="s">
        <v>32</v>
      </c>
      <c r="C80" s="12"/>
    </row>
    <row r="81" spans="1:3" s="13" customFormat="1" ht="12" x14ac:dyDescent="0.3">
      <c r="A81" s="440"/>
      <c r="B81" s="14" t="s">
        <v>109</v>
      </c>
      <c r="C81" s="15"/>
    </row>
    <row r="82" spans="1:3" s="13" customFormat="1" ht="12" x14ac:dyDescent="0.3">
      <c r="A82" s="440"/>
      <c r="B82" s="14" t="s">
        <v>110</v>
      </c>
      <c r="C82" s="15"/>
    </row>
    <row r="83" spans="1:3" s="13" customFormat="1" ht="12" x14ac:dyDescent="0.3">
      <c r="A83" s="440"/>
      <c r="B83" s="11" t="s">
        <v>49</v>
      </c>
      <c r="C83" s="12"/>
    </row>
    <row r="84" spans="1:3" s="13" customFormat="1" ht="12" x14ac:dyDescent="0.3">
      <c r="A84" s="440"/>
      <c r="B84" s="14" t="s">
        <v>65</v>
      </c>
      <c r="C84" s="15"/>
    </row>
    <row r="85" spans="1:3" s="13" customFormat="1" ht="12" x14ac:dyDescent="0.3">
      <c r="A85" s="440"/>
      <c r="B85" s="14" t="s">
        <v>68</v>
      </c>
      <c r="C85" s="15"/>
    </row>
    <row r="86" spans="1:3" s="13" customFormat="1" ht="12" x14ac:dyDescent="0.3">
      <c r="A86" s="440"/>
      <c r="B86" s="14" t="s">
        <v>63</v>
      </c>
      <c r="C86" s="15"/>
    </row>
    <row r="87" spans="1:3" s="13" customFormat="1" ht="12" x14ac:dyDescent="0.3">
      <c r="A87" s="440"/>
      <c r="B87" s="11" t="s">
        <v>33</v>
      </c>
      <c r="C87" s="12"/>
    </row>
    <row r="88" spans="1:3" s="13" customFormat="1" ht="12" x14ac:dyDescent="0.3">
      <c r="A88" s="440"/>
      <c r="B88" s="25" t="s">
        <v>43</v>
      </c>
      <c r="C88" s="24"/>
    </row>
    <row r="89" spans="1:3" s="13" customFormat="1" ht="12" x14ac:dyDescent="0.3">
      <c r="A89" s="440"/>
      <c r="B89" s="11" t="s">
        <v>51</v>
      </c>
      <c r="C89" s="12"/>
    </row>
    <row r="90" spans="1:3" s="13" customFormat="1" ht="12" x14ac:dyDescent="0.3">
      <c r="A90" s="440"/>
      <c r="B90" s="14" t="s">
        <v>104</v>
      </c>
      <c r="C90" s="15"/>
    </row>
    <row r="91" spans="1:3" s="13" customFormat="1" ht="12" x14ac:dyDescent="0.3">
      <c r="A91" s="440"/>
      <c r="B91" s="14" t="s">
        <v>105</v>
      </c>
      <c r="C91" s="15"/>
    </row>
    <row r="92" spans="1:3" s="13" customFormat="1" ht="12" x14ac:dyDescent="0.3">
      <c r="A92" s="440"/>
      <c r="B92" s="11" t="s">
        <v>52</v>
      </c>
      <c r="C92" s="12">
        <v>18000</v>
      </c>
    </row>
    <row r="93" spans="1:3" s="13" customFormat="1" ht="12" x14ac:dyDescent="0.3">
      <c r="A93" s="440"/>
      <c r="B93" s="14" t="s">
        <v>109</v>
      </c>
      <c r="C93" s="15">
        <v>12</v>
      </c>
    </row>
    <row r="94" spans="1:3" s="13" customFormat="1" ht="12" x14ac:dyDescent="0.3">
      <c r="A94" s="440"/>
      <c r="B94" s="14" t="s">
        <v>110</v>
      </c>
      <c r="C94" s="15">
        <v>1500</v>
      </c>
    </row>
    <row r="95" spans="1:3" s="13" customFormat="1" ht="12" x14ac:dyDescent="0.3">
      <c r="A95" s="440"/>
      <c r="B95" s="11" t="s">
        <v>45</v>
      </c>
      <c r="C95" s="12"/>
    </row>
    <row r="96" spans="1:3" s="13" customFormat="1" ht="12" x14ac:dyDescent="0.3">
      <c r="A96" s="440"/>
      <c r="B96" s="25" t="s">
        <v>9</v>
      </c>
      <c r="C96" s="24">
        <v>30000</v>
      </c>
    </row>
    <row r="97" spans="1:4" s="36" customFormat="1" ht="12" x14ac:dyDescent="0.3">
      <c r="A97" s="440"/>
      <c r="B97" s="28"/>
      <c r="C97" s="35"/>
    </row>
    <row r="98" spans="1:4" s="36" customFormat="1" ht="12" x14ac:dyDescent="0.3">
      <c r="A98" s="440"/>
      <c r="B98" s="28" t="s">
        <v>269</v>
      </c>
      <c r="C98" s="35">
        <v>30000</v>
      </c>
      <c r="D98" s="36" t="s">
        <v>478</v>
      </c>
    </row>
    <row r="99" spans="1:4" s="36" customFormat="1" ht="12" x14ac:dyDescent="0.3">
      <c r="A99" s="440"/>
      <c r="B99" s="28"/>
      <c r="C99" s="35"/>
    </row>
    <row r="100" spans="1:4" s="36" customFormat="1" ht="12" x14ac:dyDescent="0.3">
      <c r="A100" s="440"/>
      <c r="B100" s="28"/>
      <c r="C100" s="35"/>
    </row>
    <row r="101" spans="1:4" s="36" customFormat="1" ht="12" x14ac:dyDescent="0.3">
      <c r="A101" s="440"/>
      <c r="B101" s="28"/>
      <c r="C101" s="35"/>
    </row>
    <row r="102" spans="1:4" s="13" customFormat="1" ht="29.25" customHeight="1" x14ac:dyDescent="0.3">
      <c r="A102" s="440"/>
      <c r="B102" s="16" t="s">
        <v>89</v>
      </c>
      <c r="C102" s="17">
        <f>C47+C50+C53+C56+C62+C65+C68+C92+C96+C97+C98</f>
        <v>177079.91999999998</v>
      </c>
    </row>
    <row r="103" spans="1:4" s="13" customFormat="1" ht="12" x14ac:dyDescent="0.3">
      <c r="A103" s="434">
        <v>226</v>
      </c>
      <c r="B103" s="25" t="s">
        <v>10</v>
      </c>
      <c r="C103" s="24">
        <v>16256</v>
      </c>
    </row>
    <row r="104" spans="1:4" s="13" customFormat="1" ht="12" x14ac:dyDescent="0.3">
      <c r="A104" s="435"/>
      <c r="B104" s="11" t="s">
        <v>11</v>
      </c>
      <c r="C104" s="12">
        <v>33000</v>
      </c>
    </row>
    <row r="105" spans="1:4" s="13" customFormat="1" ht="12" x14ac:dyDescent="0.3">
      <c r="A105" s="435"/>
      <c r="B105" s="14" t="s">
        <v>68</v>
      </c>
      <c r="C105" s="15">
        <v>11</v>
      </c>
    </row>
    <row r="106" spans="1:4" s="13" customFormat="1" ht="21" customHeight="1" x14ac:dyDescent="0.3">
      <c r="A106" s="435"/>
      <c r="B106" s="14" t="s">
        <v>112</v>
      </c>
      <c r="C106" s="15">
        <v>3000</v>
      </c>
    </row>
    <row r="107" spans="1:4" s="13" customFormat="1" ht="27" customHeight="1" x14ac:dyDescent="0.3">
      <c r="A107" s="435"/>
      <c r="B107" s="11" t="s">
        <v>42</v>
      </c>
      <c r="C107" s="12"/>
    </row>
    <row r="108" spans="1:4" s="13" customFormat="1" ht="12" x14ac:dyDescent="0.3">
      <c r="A108" s="435"/>
      <c r="B108" s="14" t="s">
        <v>68</v>
      </c>
      <c r="C108" s="15"/>
    </row>
    <row r="109" spans="1:4" s="13" customFormat="1" ht="12" x14ac:dyDescent="0.3">
      <c r="A109" s="435"/>
      <c r="B109" s="14" t="s">
        <v>112</v>
      </c>
      <c r="C109" s="15"/>
    </row>
    <row r="110" spans="1:4" s="13" customFormat="1" ht="12" x14ac:dyDescent="0.3">
      <c r="A110" s="435"/>
      <c r="B110" s="11" t="s">
        <v>12</v>
      </c>
      <c r="C110" s="12">
        <v>39600</v>
      </c>
    </row>
    <row r="111" spans="1:4" s="13" customFormat="1" ht="12" x14ac:dyDescent="0.3">
      <c r="A111" s="435"/>
      <c r="B111" s="14" t="s">
        <v>109</v>
      </c>
      <c r="C111" s="15">
        <v>12</v>
      </c>
    </row>
    <row r="112" spans="1:4" s="13" customFormat="1" ht="12" x14ac:dyDescent="0.3">
      <c r="A112" s="435"/>
      <c r="B112" s="14" t="s">
        <v>110</v>
      </c>
      <c r="C112" s="15">
        <v>3300</v>
      </c>
    </row>
    <row r="113" spans="1:3" s="13" customFormat="1" ht="12" x14ac:dyDescent="0.3">
      <c r="A113" s="435"/>
      <c r="B113" s="11" t="s">
        <v>36</v>
      </c>
      <c r="C113" s="12"/>
    </row>
    <row r="114" spans="1:3" s="13" customFormat="1" ht="12" x14ac:dyDescent="0.3">
      <c r="A114" s="435"/>
      <c r="B114" s="14" t="s">
        <v>109</v>
      </c>
    </row>
    <row r="115" spans="1:3" s="13" customFormat="1" ht="12" x14ac:dyDescent="0.3">
      <c r="A115" s="435"/>
      <c r="B115" s="14" t="s">
        <v>110</v>
      </c>
      <c r="C115" s="15"/>
    </row>
    <row r="116" spans="1:3" s="13" customFormat="1" ht="12" x14ac:dyDescent="0.3">
      <c r="A116" s="435"/>
      <c r="B116" s="11" t="s">
        <v>113</v>
      </c>
      <c r="C116" s="12"/>
    </row>
    <row r="117" spans="1:3" s="13" customFormat="1" ht="12" x14ac:dyDescent="0.3">
      <c r="A117" s="435"/>
      <c r="B117" s="14" t="s">
        <v>109</v>
      </c>
      <c r="C117" s="15"/>
    </row>
    <row r="118" spans="1:3" s="13" customFormat="1" ht="12" x14ac:dyDescent="0.3">
      <c r="A118" s="435"/>
      <c r="B118" s="14" t="s">
        <v>110</v>
      </c>
      <c r="C118" s="15"/>
    </row>
    <row r="119" spans="1:3" s="13" customFormat="1" ht="12" x14ac:dyDescent="0.3">
      <c r="A119" s="435"/>
      <c r="B119" s="11" t="s">
        <v>41</v>
      </c>
      <c r="C119" s="12">
        <v>3000</v>
      </c>
    </row>
    <row r="120" spans="1:3" s="13" customFormat="1" ht="12" x14ac:dyDescent="0.3">
      <c r="A120" s="435"/>
      <c r="B120" s="14" t="s">
        <v>66</v>
      </c>
      <c r="C120" s="15">
        <v>3</v>
      </c>
    </row>
    <row r="121" spans="1:3" s="13" customFormat="1" ht="12" x14ac:dyDescent="0.3">
      <c r="A121" s="435"/>
      <c r="B121" s="14" t="s">
        <v>63</v>
      </c>
      <c r="C121" s="15">
        <v>1000</v>
      </c>
    </row>
    <row r="122" spans="1:3" s="13" customFormat="1" ht="12" x14ac:dyDescent="0.3">
      <c r="A122" s="435"/>
      <c r="B122" s="11" t="s">
        <v>40</v>
      </c>
      <c r="C122" s="12">
        <v>5968</v>
      </c>
    </row>
    <row r="123" spans="1:3" s="13" customFormat="1" ht="12" x14ac:dyDescent="0.3">
      <c r="A123" s="435"/>
      <c r="B123" s="14" t="s">
        <v>66</v>
      </c>
      <c r="C123" s="15">
        <v>1</v>
      </c>
    </row>
    <row r="124" spans="1:3" s="13" customFormat="1" ht="12" x14ac:dyDescent="0.3">
      <c r="A124" s="435"/>
      <c r="B124" s="14" t="s">
        <v>63</v>
      </c>
      <c r="C124" s="15">
        <v>5968</v>
      </c>
    </row>
    <row r="125" spans="1:3" s="13" customFormat="1" ht="12" x14ac:dyDescent="0.3">
      <c r="A125" s="435"/>
      <c r="B125" s="11" t="s">
        <v>37</v>
      </c>
      <c r="C125" s="12"/>
    </row>
    <row r="126" spans="1:3" s="13" customFormat="1" ht="12" x14ac:dyDescent="0.3">
      <c r="A126" s="435"/>
      <c r="B126" s="25" t="s">
        <v>44</v>
      </c>
      <c r="C126" s="24"/>
    </row>
    <row r="127" spans="1:3" s="13" customFormat="1" ht="12" x14ac:dyDescent="0.3">
      <c r="A127" s="435"/>
      <c r="B127" s="14" t="s">
        <v>66</v>
      </c>
      <c r="C127" s="15"/>
    </row>
    <row r="128" spans="1:3" s="13" customFormat="1" ht="12" x14ac:dyDescent="0.3">
      <c r="A128" s="435"/>
      <c r="B128" s="14" t="s">
        <v>63</v>
      </c>
      <c r="C128" s="15"/>
    </row>
    <row r="129" spans="1:5" s="13" customFormat="1" ht="12" x14ac:dyDescent="0.3">
      <c r="A129" s="435"/>
      <c r="B129" s="25" t="s">
        <v>13</v>
      </c>
      <c r="C129" s="24">
        <v>16456.16</v>
      </c>
    </row>
    <row r="130" spans="1:5" s="13" customFormat="1" ht="12" x14ac:dyDescent="0.3">
      <c r="A130" s="435"/>
      <c r="B130" s="11" t="s">
        <v>14</v>
      </c>
      <c r="C130" s="12"/>
    </row>
    <row r="131" spans="1:5" s="13" customFormat="1" ht="12" x14ac:dyDescent="0.3">
      <c r="A131" s="435"/>
      <c r="B131" s="25" t="s">
        <v>30</v>
      </c>
      <c r="C131" s="24">
        <v>4500</v>
      </c>
    </row>
    <row r="132" spans="1:5" s="157" customFormat="1" ht="12" x14ac:dyDescent="0.3">
      <c r="A132" s="435"/>
      <c r="B132" s="22" t="s">
        <v>48</v>
      </c>
      <c r="C132" s="257">
        <v>4559.5200000000004</v>
      </c>
      <c r="D132" s="157" t="s">
        <v>181</v>
      </c>
    </row>
    <row r="133" spans="1:5" s="13" customFormat="1" ht="12" x14ac:dyDescent="0.3">
      <c r="A133" s="435"/>
      <c r="B133" s="14" t="s">
        <v>66</v>
      </c>
      <c r="C133" s="15">
        <v>1200</v>
      </c>
    </row>
    <row r="134" spans="1:5" s="13" customFormat="1" ht="12" x14ac:dyDescent="0.3">
      <c r="A134" s="435"/>
      <c r="B134" s="14" t="s">
        <v>63</v>
      </c>
      <c r="C134" s="15">
        <v>3.22</v>
      </c>
      <c r="D134" s="13" t="s">
        <v>270</v>
      </c>
      <c r="E134" s="13">
        <v>3.7995999999999999</v>
      </c>
    </row>
    <row r="135" spans="1:5" s="13" customFormat="1" ht="12" x14ac:dyDescent="0.3">
      <c r="A135" s="435"/>
      <c r="B135" s="11" t="s">
        <v>15</v>
      </c>
      <c r="C135" s="12"/>
    </row>
    <row r="136" spans="1:5" s="13" customFormat="1" ht="12" x14ac:dyDescent="0.3">
      <c r="A136" s="435"/>
      <c r="B136" s="25" t="s">
        <v>16</v>
      </c>
      <c r="C136" s="24">
        <v>23200</v>
      </c>
    </row>
    <row r="137" spans="1:5" s="13" customFormat="1" ht="12" x14ac:dyDescent="0.3">
      <c r="A137" s="435"/>
      <c r="B137" s="14" t="s">
        <v>66</v>
      </c>
      <c r="C137" s="15">
        <v>4</v>
      </c>
    </row>
    <row r="138" spans="1:5" s="13" customFormat="1" ht="12" x14ac:dyDescent="0.3">
      <c r="A138" s="435"/>
      <c r="B138" s="14" t="s">
        <v>112</v>
      </c>
      <c r="C138" s="15">
        <v>5800</v>
      </c>
    </row>
    <row r="139" spans="1:5" s="13" customFormat="1" ht="12" x14ac:dyDescent="0.3">
      <c r="A139" s="435"/>
      <c r="B139" s="11" t="s">
        <v>34</v>
      </c>
      <c r="C139" s="12"/>
    </row>
    <row r="140" spans="1:5" s="13" customFormat="1" ht="12" x14ac:dyDescent="0.3">
      <c r="A140" s="435"/>
      <c r="B140" s="14" t="s">
        <v>66</v>
      </c>
      <c r="C140" s="15"/>
    </row>
    <row r="141" spans="1:5" s="13" customFormat="1" ht="12" x14ac:dyDescent="0.3">
      <c r="A141" s="435"/>
      <c r="B141" s="14" t="s">
        <v>63</v>
      </c>
      <c r="C141" s="15"/>
    </row>
    <row r="142" spans="1:5" s="13" customFormat="1" ht="12" x14ac:dyDescent="0.3">
      <c r="A142" s="435"/>
      <c r="B142" s="14" t="s">
        <v>66</v>
      </c>
      <c r="C142" s="15"/>
    </row>
    <row r="143" spans="1:5" s="13" customFormat="1" ht="12" x14ac:dyDescent="0.3">
      <c r="A143" s="435"/>
      <c r="B143" s="14" t="s">
        <v>63</v>
      </c>
      <c r="C143" s="15"/>
    </row>
    <row r="144" spans="1:5" s="13" customFormat="1" ht="12" x14ac:dyDescent="0.3">
      <c r="A144" s="435"/>
      <c r="B144" s="11" t="s">
        <v>35</v>
      </c>
      <c r="C144" s="12"/>
    </row>
    <row r="145" spans="1:3" s="13" customFormat="1" ht="12" x14ac:dyDescent="0.3">
      <c r="A145" s="435"/>
      <c r="B145" s="14" t="s">
        <v>64</v>
      </c>
      <c r="C145" s="15"/>
    </row>
    <row r="146" spans="1:3" s="13" customFormat="1" ht="12" x14ac:dyDescent="0.3">
      <c r="A146" s="435"/>
      <c r="B146" s="14" t="s">
        <v>68</v>
      </c>
      <c r="C146" s="15"/>
    </row>
    <row r="147" spans="1:3" s="13" customFormat="1" ht="12" x14ac:dyDescent="0.3">
      <c r="A147" s="435"/>
      <c r="B147" s="14" t="s">
        <v>63</v>
      </c>
      <c r="C147" s="15"/>
    </row>
    <row r="148" spans="1:3" s="13" customFormat="1" ht="27.75" customHeight="1" x14ac:dyDescent="0.3">
      <c r="A148" s="435"/>
      <c r="B148" s="11" t="s">
        <v>50</v>
      </c>
      <c r="C148" s="12"/>
    </row>
    <row r="149" spans="1:3" s="13" customFormat="1" ht="12" x14ac:dyDescent="0.3">
      <c r="A149" s="435"/>
      <c r="B149" s="14" t="s">
        <v>64</v>
      </c>
      <c r="C149" s="15"/>
    </row>
    <row r="150" spans="1:3" s="13" customFormat="1" ht="12" x14ac:dyDescent="0.3">
      <c r="A150" s="435"/>
      <c r="B150" s="14" t="s">
        <v>68</v>
      </c>
      <c r="C150" s="15"/>
    </row>
    <row r="151" spans="1:3" s="13" customFormat="1" ht="12" x14ac:dyDescent="0.3">
      <c r="A151" s="435"/>
      <c r="B151" s="14" t="s">
        <v>63</v>
      </c>
      <c r="C151" s="15"/>
    </row>
    <row r="152" spans="1:3" s="26" customFormat="1" ht="26.25" customHeight="1" x14ac:dyDescent="0.3">
      <c r="A152" s="435"/>
      <c r="B152" s="11" t="s">
        <v>47</v>
      </c>
      <c r="C152" s="12"/>
    </row>
    <row r="153" spans="1:3" s="26" customFormat="1" ht="11.4" x14ac:dyDescent="0.3">
      <c r="A153" s="435"/>
      <c r="B153" s="25" t="s">
        <v>27</v>
      </c>
      <c r="C153" s="24">
        <v>8880</v>
      </c>
    </row>
    <row r="154" spans="1:3" s="13" customFormat="1" ht="12" x14ac:dyDescent="0.3">
      <c r="A154" s="435"/>
      <c r="B154" s="14" t="s">
        <v>114</v>
      </c>
      <c r="C154" s="15">
        <v>12</v>
      </c>
    </row>
    <row r="155" spans="1:3" s="13" customFormat="1" ht="12" x14ac:dyDescent="0.3">
      <c r="A155" s="435"/>
      <c r="B155" s="14" t="s">
        <v>110</v>
      </c>
      <c r="C155" s="15">
        <v>740</v>
      </c>
    </row>
    <row r="156" spans="1:3" s="26" customFormat="1" ht="21.75" customHeight="1" x14ac:dyDescent="0.3">
      <c r="A156" s="435"/>
      <c r="B156" s="11" t="s">
        <v>17</v>
      </c>
      <c r="C156" s="12"/>
    </row>
    <row r="157" spans="1:3" s="13" customFormat="1" ht="12" x14ac:dyDescent="0.3">
      <c r="A157" s="435"/>
      <c r="B157" s="14" t="s">
        <v>114</v>
      </c>
      <c r="C157" s="15"/>
    </row>
    <row r="158" spans="1:3" s="13" customFormat="1" ht="18.75" customHeight="1" x14ac:dyDescent="0.3">
      <c r="A158" s="435"/>
      <c r="B158" s="14" t="s">
        <v>110</v>
      </c>
      <c r="C158" s="15"/>
    </row>
    <row r="159" spans="1:3" s="26" customFormat="1" ht="11.4" x14ac:dyDescent="0.3">
      <c r="A159" s="435"/>
      <c r="B159" s="11" t="s">
        <v>18</v>
      </c>
      <c r="C159" s="12">
        <v>1600</v>
      </c>
    </row>
    <row r="160" spans="1:3" s="13" customFormat="1" ht="12" x14ac:dyDescent="0.3">
      <c r="A160" s="435"/>
      <c r="B160" s="14" t="s">
        <v>66</v>
      </c>
      <c r="C160" s="15">
        <v>1</v>
      </c>
    </row>
    <row r="161" spans="1:3" s="13" customFormat="1" ht="12" x14ac:dyDescent="0.3">
      <c r="A161" s="435"/>
      <c r="B161" s="14" t="s">
        <v>63</v>
      </c>
      <c r="C161" s="15">
        <v>1600</v>
      </c>
    </row>
    <row r="162" spans="1:3" s="26" customFormat="1" ht="11.4" x14ac:dyDescent="0.3">
      <c r="A162" s="435"/>
      <c r="B162" s="11" t="s">
        <v>19</v>
      </c>
      <c r="C162" s="12">
        <v>9000</v>
      </c>
    </row>
    <row r="163" spans="1:3" s="13" customFormat="1" ht="12" x14ac:dyDescent="0.3">
      <c r="A163" s="435"/>
      <c r="B163" s="14" t="s">
        <v>66</v>
      </c>
      <c r="C163" s="15">
        <v>3</v>
      </c>
    </row>
    <row r="164" spans="1:3" s="13" customFormat="1" ht="12" x14ac:dyDescent="0.3">
      <c r="A164" s="435"/>
      <c r="B164" s="14" t="s">
        <v>63</v>
      </c>
      <c r="C164" s="15">
        <v>3000</v>
      </c>
    </row>
    <row r="165" spans="1:3" s="26" customFormat="1" ht="11.4" x14ac:dyDescent="0.3">
      <c r="A165" s="436"/>
      <c r="B165" s="16" t="s">
        <v>88</v>
      </c>
      <c r="C165" s="17">
        <f>C103+C104+C110+C119+C122+C129+C131+C132+C136+C153+C159+C162</f>
        <v>166019.68</v>
      </c>
    </row>
    <row r="166" spans="1:3" s="13" customFormat="1" ht="12" x14ac:dyDescent="0.3">
      <c r="A166" s="440">
        <v>290</v>
      </c>
      <c r="B166" s="27" t="s">
        <v>20</v>
      </c>
      <c r="C166" s="15">
        <v>2000</v>
      </c>
    </row>
    <row r="167" spans="1:3" s="13" customFormat="1" ht="12" x14ac:dyDescent="0.3">
      <c r="A167" s="440"/>
      <c r="B167" s="27" t="s">
        <v>21</v>
      </c>
      <c r="C167" s="15">
        <v>9110</v>
      </c>
    </row>
    <row r="168" spans="1:3" s="26" customFormat="1" ht="11.4" x14ac:dyDescent="0.3">
      <c r="A168" s="440"/>
      <c r="B168" s="16" t="s">
        <v>87</v>
      </c>
      <c r="C168" s="17">
        <f>C166+C167</f>
        <v>11110</v>
      </c>
    </row>
    <row r="169" spans="1:3" s="26" customFormat="1" ht="11.4" x14ac:dyDescent="0.3">
      <c r="A169" s="434">
        <v>340</v>
      </c>
      <c r="B169" s="11" t="s">
        <v>115</v>
      </c>
      <c r="C169" s="12">
        <f>C170*C171*C172</f>
        <v>40800</v>
      </c>
    </row>
    <row r="170" spans="1:3" s="13" customFormat="1" ht="12" x14ac:dyDescent="0.3">
      <c r="A170" s="435"/>
      <c r="B170" s="27" t="s">
        <v>75</v>
      </c>
      <c r="C170" s="15">
        <v>12</v>
      </c>
    </row>
    <row r="171" spans="1:3" s="13" customFormat="1" ht="12" x14ac:dyDescent="0.3">
      <c r="A171" s="435"/>
      <c r="B171" s="27" t="s">
        <v>76</v>
      </c>
      <c r="C171" s="15">
        <v>20</v>
      </c>
    </row>
    <row r="172" spans="1:3" s="13" customFormat="1" ht="12" x14ac:dyDescent="0.3">
      <c r="A172" s="435"/>
      <c r="B172" s="27" t="s">
        <v>77</v>
      </c>
      <c r="C172" s="15">
        <v>170</v>
      </c>
    </row>
    <row r="173" spans="1:3" s="26" customFormat="1" ht="11.4" x14ac:dyDescent="0.3">
      <c r="A173" s="435"/>
      <c r="B173" s="11" t="s">
        <v>78</v>
      </c>
      <c r="C173" s="12">
        <v>201600</v>
      </c>
    </row>
    <row r="174" spans="1:3" s="13" customFormat="1" ht="12" x14ac:dyDescent="0.3">
      <c r="A174" s="435"/>
      <c r="B174" s="27" t="s">
        <v>75</v>
      </c>
      <c r="C174" s="15">
        <v>20</v>
      </c>
    </row>
    <row r="175" spans="1:3" s="13" customFormat="1" ht="12" x14ac:dyDescent="0.3">
      <c r="A175" s="435"/>
      <c r="B175" s="27" t="s">
        <v>76</v>
      </c>
      <c r="C175" s="15">
        <v>45</v>
      </c>
    </row>
    <row r="176" spans="1:3" s="13" customFormat="1" ht="12" x14ac:dyDescent="0.3">
      <c r="A176" s="435"/>
      <c r="B176" s="27" t="s">
        <v>77</v>
      </c>
      <c r="C176" s="15">
        <v>224</v>
      </c>
    </row>
    <row r="177" spans="1:5" s="26" customFormat="1" ht="11.4" x14ac:dyDescent="0.3">
      <c r="A177" s="435"/>
      <c r="B177" s="11" t="s">
        <v>74</v>
      </c>
      <c r="C177" s="12">
        <v>25200</v>
      </c>
    </row>
    <row r="178" spans="1:5" s="13" customFormat="1" ht="12" x14ac:dyDescent="0.3">
      <c r="A178" s="435"/>
      <c r="B178" s="27" t="s">
        <v>75</v>
      </c>
      <c r="C178" s="15">
        <v>5</v>
      </c>
    </row>
    <row r="179" spans="1:5" s="13" customFormat="1" ht="12" x14ac:dyDescent="0.3">
      <c r="A179" s="435"/>
      <c r="B179" s="27" t="s">
        <v>76</v>
      </c>
      <c r="C179" s="15">
        <v>22.5</v>
      </c>
      <c r="D179" s="295">
        <v>20</v>
      </c>
    </row>
    <row r="180" spans="1:5" s="13" customFormat="1" ht="12" x14ac:dyDescent="0.3">
      <c r="A180" s="435"/>
      <c r="B180" s="27" t="s">
        <v>77</v>
      </c>
      <c r="C180" s="15">
        <v>224</v>
      </c>
      <c r="D180" s="13">
        <f>C180*D179*C178</f>
        <v>22400</v>
      </c>
      <c r="E180" s="30">
        <f>D180-C177</f>
        <v>-2800</v>
      </c>
    </row>
    <row r="181" spans="1:5" s="13" customFormat="1" ht="12" x14ac:dyDescent="0.3">
      <c r="A181" s="435"/>
      <c r="B181" s="226" t="s">
        <v>271</v>
      </c>
      <c r="C181" s="227">
        <v>3400</v>
      </c>
    </row>
    <row r="182" spans="1:5" s="13" customFormat="1" ht="12" x14ac:dyDescent="0.3">
      <c r="A182" s="435"/>
      <c r="B182" s="27" t="s">
        <v>75</v>
      </c>
      <c r="C182" s="15">
        <v>1</v>
      </c>
    </row>
    <row r="183" spans="1:5" s="13" customFormat="1" ht="12" x14ac:dyDescent="0.3">
      <c r="A183" s="435"/>
      <c r="B183" s="27" t="s">
        <v>76</v>
      </c>
      <c r="C183" s="15">
        <v>20</v>
      </c>
    </row>
    <row r="184" spans="1:5" s="13" customFormat="1" ht="12" x14ac:dyDescent="0.3">
      <c r="A184" s="435"/>
      <c r="B184" s="27" t="s">
        <v>77</v>
      </c>
      <c r="C184" s="15">
        <v>170</v>
      </c>
    </row>
    <row r="185" spans="1:5" s="26" customFormat="1" ht="11.4" x14ac:dyDescent="0.3">
      <c r="A185" s="435"/>
      <c r="B185" s="11" t="s">
        <v>71</v>
      </c>
      <c r="C185" s="12"/>
    </row>
    <row r="186" spans="1:5" s="26" customFormat="1" ht="11.4" x14ac:dyDescent="0.3">
      <c r="A186" s="435"/>
      <c r="B186" s="25" t="s">
        <v>39</v>
      </c>
      <c r="C186" s="24"/>
    </row>
    <row r="187" spans="1:5" s="26" customFormat="1" ht="11.4" x14ac:dyDescent="0.3">
      <c r="A187" s="435"/>
      <c r="B187" s="25"/>
      <c r="C187" s="24"/>
    </row>
    <row r="188" spans="1:5" s="26" customFormat="1" ht="11.4" x14ac:dyDescent="0.3">
      <c r="A188" s="435"/>
      <c r="B188" s="25"/>
      <c r="C188" s="24"/>
    </row>
    <row r="189" spans="1:5" s="26" customFormat="1" ht="11.4" x14ac:dyDescent="0.3">
      <c r="A189" s="435"/>
      <c r="B189" s="25"/>
      <c r="C189" s="24"/>
    </row>
    <row r="190" spans="1:5" s="26" customFormat="1" ht="11.4" x14ac:dyDescent="0.3">
      <c r="A190" s="435"/>
      <c r="B190" s="25"/>
      <c r="C190" s="24"/>
    </row>
    <row r="191" spans="1:5" s="26" customFormat="1" ht="11.4" x14ac:dyDescent="0.3">
      <c r="A191" s="435"/>
      <c r="B191" s="25"/>
      <c r="C191" s="24"/>
    </row>
    <row r="192" spans="1:5" s="26" customFormat="1" ht="11.4" x14ac:dyDescent="0.3">
      <c r="A192" s="435"/>
      <c r="B192" s="25"/>
      <c r="C192" s="24"/>
    </row>
    <row r="193" spans="1:3" s="26" customFormat="1" ht="11.4" x14ac:dyDescent="0.3">
      <c r="A193" s="435"/>
      <c r="B193" s="11" t="s">
        <v>22</v>
      </c>
      <c r="C193" s="12"/>
    </row>
    <row r="194" spans="1:3" s="26" customFormat="1" ht="11.4" x14ac:dyDescent="0.3">
      <c r="A194" s="435"/>
      <c r="B194" s="25" t="s">
        <v>272</v>
      </c>
      <c r="C194" s="24">
        <v>7000</v>
      </c>
    </row>
    <row r="195" spans="1:3" s="26" customFormat="1" ht="11.4" x14ac:dyDescent="0.3">
      <c r="A195" s="435"/>
      <c r="B195" s="25" t="s">
        <v>273</v>
      </c>
      <c r="C195" s="24">
        <v>2500</v>
      </c>
    </row>
    <row r="196" spans="1:3" s="26" customFormat="1" ht="11.4" x14ac:dyDescent="0.3">
      <c r="A196" s="435"/>
      <c r="B196" s="25" t="s">
        <v>274</v>
      </c>
      <c r="C196" s="24">
        <v>6000</v>
      </c>
    </row>
    <row r="197" spans="1:3" s="26" customFormat="1" ht="11.4" x14ac:dyDescent="0.3">
      <c r="A197" s="435"/>
      <c r="B197" s="25" t="s">
        <v>275</v>
      </c>
      <c r="C197" s="24">
        <v>5000</v>
      </c>
    </row>
    <row r="198" spans="1:3" s="26" customFormat="1" ht="11.4" x14ac:dyDescent="0.3">
      <c r="A198" s="435"/>
      <c r="B198" s="25" t="s">
        <v>276</v>
      </c>
      <c r="C198" s="24">
        <v>10000</v>
      </c>
    </row>
    <row r="199" spans="1:3" s="26" customFormat="1" ht="11.4" x14ac:dyDescent="0.3">
      <c r="A199" s="435"/>
      <c r="B199" s="25" t="s">
        <v>277</v>
      </c>
      <c r="C199" s="24">
        <v>10000</v>
      </c>
    </row>
    <row r="200" spans="1:3" s="26" customFormat="1" ht="11.4" x14ac:dyDescent="0.3">
      <c r="A200" s="435"/>
      <c r="B200" s="25" t="s">
        <v>72</v>
      </c>
      <c r="C200" s="24"/>
    </row>
    <row r="201" spans="1:3" s="26" customFormat="1" ht="11.4" x14ac:dyDescent="0.3">
      <c r="A201" s="435"/>
      <c r="B201" s="25" t="s">
        <v>278</v>
      </c>
      <c r="C201" s="24">
        <v>15000</v>
      </c>
    </row>
    <row r="202" spans="1:3" s="26" customFormat="1" ht="11.4" x14ac:dyDescent="0.3">
      <c r="A202" s="435"/>
      <c r="B202" s="25"/>
      <c r="C202" s="24"/>
    </row>
    <row r="203" spans="1:3" s="26" customFormat="1" ht="11.4" x14ac:dyDescent="0.3">
      <c r="A203" s="435"/>
      <c r="B203" s="25"/>
      <c r="C203" s="24"/>
    </row>
    <row r="204" spans="1:3" s="26" customFormat="1" ht="11.4" x14ac:dyDescent="0.3">
      <c r="A204" s="435"/>
      <c r="B204" s="25"/>
      <c r="C204" s="24"/>
    </row>
    <row r="205" spans="1:3" s="26" customFormat="1" ht="11.4" x14ac:dyDescent="0.3">
      <c r="A205" s="435"/>
      <c r="B205" s="25"/>
      <c r="C205" s="24"/>
    </row>
    <row r="206" spans="1:3" s="26" customFormat="1" ht="11.4" x14ac:dyDescent="0.3">
      <c r="A206" s="435"/>
      <c r="B206" s="25"/>
      <c r="C206" s="24"/>
    </row>
    <row r="207" spans="1:3" s="26" customFormat="1" ht="11.4" x14ac:dyDescent="0.3">
      <c r="A207" s="435"/>
      <c r="B207" s="11" t="s">
        <v>53</v>
      </c>
      <c r="C207" s="12"/>
    </row>
    <row r="208" spans="1:3" s="26" customFormat="1" ht="11.4" x14ac:dyDescent="0.3">
      <c r="A208" s="435"/>
      <c r="B208" s="25" t="s">
        <v>73</v>
      </c>
      <c r="C208" s="24"/>
    </row>
    <row r="209" spans="1:4" s="26" customFormat="1" ht="11.4" x14ac:dyDescent="0.3">
      <c r="A209" s="435"/>
      <c r="B209" s="11" t="s">
        <v>38</v>
      </c>
      <c r="C209" s="12"/>
    </row>
    <row r="210" spans="1:4" s="13" customFormat="1" ht="12" x14ac:dyDescent="0.3">
      <c r="A210" s="435"/>
      <c r="B210" s="27" t="s">
        <v>117</v>
      </c>
      <c r="C210" s="15"/>
    </row>
    <row r="211" spans="1:4" s="13" customFormat="1" ht="12" x14ac:dyDescent="0.3">
      <c r="A211" s="435"/>
      <c r="B211" s="27" t="s">
        <v>118</v>
      </c>
      <c r="C211" s="15"/>
    </row>
    <row r="212" spans="1:4" s="13" customFormat="1" ht="12" x14ac:dyDescent="0.3">
      <c r="A212" s="435"/>
      <c r="B212" s="27" t="s">
        <v>85</v>
      </c>
      <c r="C212" s="15"/>
    </row>
    <row r="213" spans="1:4" s="13" customFormat="1" ht="12" x14ac:dyDescent="0.3">
      <c r="A213" s="435"/>
      <c r="B213" s="27" t="s">
        <v>116</v>
      </c>
      <c r="C213" s="15"/>
    </row>
    <row r="214" spans="1:4" s="26" customFormat="1" ht="11.4" x14ac:dyDescent="0.3">
      <c r="A214" s="435"/>
      <c r="B214" s="11" t="s">
        <v>23</v>
      </c>
      <c r="C214" s="12"/>
    </row>
    <row r="215" spans="1:4" s="13" customFormat="1" ht="12" x14ac:dyDescent="0.3">
      <c r="A215" s="435"/>
      <c r="B215" s="27" t="s">
        <v>67</v>
      </c>
      <c r="C215" s="15"/>
    </row>
    <row r="216" spans="1:4" s="13" customFormat="1" ht="12" x14ac:dyDescent="0.3">
      <c r="A216" s="435"/>
      <c r="B216" s="27" t="s">
        <v>119</v>
      </c>
      <c r="C216" s="15"/>
    </row>
    <row r="217" spans="1:4" s="26" customFormat="1" ht="11.4" x14ac:dyDescent="0.3">
      <c r="A217" s="435"/>
      <c r="B217" s="11" t="s">
        <v>24</v>
      </c>
      <c r="C217" s="29"/>
    </row>
    <row r="218" spans="1:4" s="13" customFormat="1" ht="12" x14ac:dyDescent="0.3">
      <c r="A218" s="435"/>
      <c r="B218" s="27" t="s">
        <v>67</v>
      </c>
      <c r="C218" s="15"/>
    </row>
    <row r="219" spans="1:4" s="13" customFormat="1" ht="12" x14ac:dyDescent="0.3">
      <c r="A219" s="435"/>
      <c r="B219" s="27" t="s">
        <v>120</v>
      </c>
      <c r="C219" s="15"/>
    </row>
    <row r="220" spans="1:4" s="13" customFormat="1" ht="18.75" customHeight="1" x14ac:dyDescent="0.3">
      <c r="A220" s="436"/>
      <c r="B220" s="16" t="s">
        <v>86</v>
      </c>
      <c r="C220" s="17">
        <f>C169+C173+C177+C181+C194+C195+C196+C197+C198+C199+C201</f>
        <v>326500</v>
      </c>
      <c r="D220" s="30">
        <f>C169+C173+C177+C181+C194+C195+C196+C197+C198+C199+C201</f>
        <v>326500</v>
      </c>
    </row>
    <row r="221" spans="1:4" s="31" customFormat="1" ht="26.25" customHeight="1" x14ac:dyDescent="0.3">
      <c r="A221" s="438" t="s">
        <v>121</v>
      </c>
      <c r="B221" s="439"/>
      <c r="C221" s="34">
        <f>C12+C13+C23+C27+C46+C102+C165+C168+C220</f>
        <v>2971663.99</v>
      </c>
    </row>
    <row r="222" spans="1:4" s="31" customFormat="1" ht="14.4" x14ac:dyDescent="0.3">
      <c r="A222" s="438" t="s">
        <v>122</v>
      </c>
      <c r="B222" s="439"/>
      <c r="C222" s="34">
        <v>3267730.39</v>
      </c>
    </row>
    <row r="223" spans="1:4" s="31" customFormat="1" ht="14.4" x14ac:dyDescent="0.3">
      <c r="A223" s="438" t="s">
        <v>123</v>
      </c>
      <c r="B223" s="439"/>
      <c r="C223" s="34">
        <v>3594503.42</v>
      </c>
    </row>
    <row r="224" spans="1:4" s="31" customFormat="1" x14ac:dyDescent="0.3">
      <c r="A224" s="5"/>
      <c r="B224" s="33"/>
      <c r="C224" s="32"/>
    </row>
    <row r="225" spans="1:3" s="31" customFormat="1" x14ac:dyDescent="0.3">
      <c r="A225" s="5"/>
      <c r="C225" s="32"/>
    </row>
    <row r="226" spans="1:3" s="31" customFormat="1" x14ac:dyDescent="0.3">
      <c r="A226" s="5"/>
      <c r="B226" s="33"/>
      <c r="C226" s="32"/>
    </row>
    <row r="227" spans="1:3" s="31" customFormat="1" x14ac:dyDescent="0.3">
      <c r="A227" s="5"/>
      <c r="C227" s="32"/>
    </row>
    <row r="228" spans="1:3" s="31" customFormat="1" x14ac:dyDescent="0.3">
      <c r="A228" s="5"/>
      <c r="B228" s="33"/>
      <c r="C228" s="32"/>
    </row>
    <row r="229" spans="1:3" s="31" customFormat="1" x14ac:dyDescent="0.3">
      <c r="A229" s="5"/>
      <c r="C229" s="32"/>
    </row>
    <row r="230" spans="1:3" s="31" customFormat="1" x14ac:dyDescent="0.3">
      <c r="A230" s="5"/>
      <c r="C230" s="32"/>
    </row>
    <row r="231" spans="1:3" s="31" customFormat="1" x14ac:dyDescent="0.3">
      <c r="A231" s="5"/>
      <c r="C231" s="32"/>
    </row>
    <row r="232" spans="1:3" s="31" customFormat="1" x14ac:dyDescent="0.3">
      <c r="A232" s="5"/>
      <c r="C232" s="32"/>
    </row>
    <row r="233" spans="1:3" s="31" customFormat="1" x14ac:dyDescent="0.3">
      <c r="A233" s="5"/>
      <c r="C233" s="32"/>
    </row>
    <row r="234" spans="1:3" s="31" customFormat="1" x14ac:dyDescent="0.3">
      <c r="A234" s="5"/>
      <c r="C234" s="32"/>
    </row>
    <row r="235" spans="1:3" s="31" customFormat="1" x14ac:dyDescent="0.3">
      <c r="A235" s="5"/>
      <c r="C235" s="32"/>
    </row>
    <row r="236" spans="1:3" s="31" customFormat="1" x14ac:dyDescent="0.3">
      <c r="A236" s="5"/>
      <c r="C236" s="32"/>
    </row>
    <row r="237" spans="1:3" s="31" customFormat="1" x14ac:dyDescent="0.3">
      <c r="A237" s="5"/>
      <c r="C237" s="32"/>
    </row>
    <row r="238" spans="1:3" s="31" customFormat="1" x14ac:dyDescent="0.3">
      <c r="A238" s="5"/>
      <c r="C238" s="32"/>
    </row>
    <row r="239" spans="1:3" s="31" customFormat="1" x14ac:dyDescent="0.3">
      <c r="A239" s="5"/>
      <c r="C239" s="32"/>
    </row>
    <row r="240" spans="1:3" s="31" customFormat="1" x14ac:dyDescent="0.3">
      <c r="A240" s="5"/>
      <c r="C240" s="32"/>
    </row>
    <row r="241" spans="1:3" s="31" customFormat="1" x14ac:dyDescent="0.3">
      <c r="A241" s="5"/>
      <c r="C241" s="32"/>
    </row>
    <row r="242" spans="1:3" s="31" customFormat="1" x14ac:dyDescent="0.3">
      <c r="A242" s="5"/>
      <c r="C242" s="32"/>
    </row>
    <row r="243" spans="1:3" s="31" customFormat="1" x14ac:dyDescent="0.3">
      <c r="A243" s="5"/>
      <c r="C243" s="32"/>
    </row>
    <row r="244" spans="1:3" s="31" customFormat="1" x14ac:dyDescent="0.3">
      <c r="A244" s="5"/>
      <c r="C244" s="32"/>
    </row>
    <row r="245" spans="1:3" s="31" customFormat="1" x14ac:dyDescent="0.3">
      <c r="A245" s="5"/>
      <c r="C245" s="32"/>
    </row>
    <row r="246" spans="1:3" s="31" customFormat="1" x14ac:dyDescent="0.3">
      <c r="A246" s="5"/>
      <c r="C246" s="32"/>
    </row>
    <row r="247" spans="1:3" s="31" customFormat="1" x14ac:dyDescent="0.3">
      <c r="A247" s="5"/>
      <c r="C247" s="32"/>
    </row>
    <row r="248" spans="1:3" s="31" customFormat="1" x14ac:dyDescent="0.3">
      <c r="A248" s="5"/>
      <c r="C248" s="32"/>
    </row>
    <row r="249" spans="1:3" s="31" customFormat="1" x14ac:dyDescent="0.3">
      <c r="A249" s="5"/>
      <c r="C249" s="32"/>
    </row>
    <row r="250" spans="1:3" s="31" customFormat="1" x14ac:dyDescent="0.3">
      <c r="A250" s="5"/>
      <c r="C250" s="32"/>
    </row>
    <row r="251" spans="1:3" s="31" customFormat="1" x14ac:dyDescent="0.3">
      <c r="A251" s="5"/>
      <c r="C251" s="32"/>
    </row>
    <row r="252" spans="1:3" s="31" customFormat="1" x14ac:dyDescent="0.3">
      <c r="A252" s="5"/>
      <c r="C252" s="32"/>
    </row>
    <row r="253" spans="1:3" s="31" customFormat="1" x14ac:dyDescent="0.3">
      <c r="A253" s="5"/>
      <c r="C253" s="32"/>
    </row>
    <row r="254" spans="1:3" s="31" customFormat="1" x14ac:dyDescent="0.3">
      <c r="A254" s="5"/>
      <c r="C254" s="32"/>
    </row>
    <row r="255" spans="1:3" s="31" customFormat="1" x14ac:dyDescent="0.3">
      <c r="A255" s="5"/>
      <c r="C255" s="32"/>
    </row>
    <row r="256" spans="1:3" s="31" customFormat="1" x14ac:dyDescent="0.3">
      <c r="A256" s="5"/>
      <c r="C256" s="32"/>
    </row>
    <row r="257" spans="1:3" s="31" customFormat="1" x14ac:dyDescent="0.3">
      <c r="A257" s="5"/>
      <c r="C257" s="32"/>
    </row>
    <row r="258" spans="1:3" s="31" customFormat="1" x14ac:dyDescent="0.3">
      <c r="A258" s="5"/>
      <c r="C258" s="32"/>
    </row>
    <row r="259" spans="1:3" s="31" customFormat="1" x14ac:dyDescent="0.3">
      <c r="A259" s="5"/>
      <c r="C259" s="32"/>
    </row>
    <row r="260" spans="1:3" s="31" customFormat="1" x14ac:dyDescent="0.3">
      <c r="A260" s="5"/>
      <c r="C260" s="32"/>
    </row>
    <row r="261" spans="1:3" s="31" customFormat="1" x14ac:dyDescent="0.3">
      <c r="A261" s="5"/>
      <c r="C261" s="32"/>
    </row>
    <row r="262" spans="1:3" s="31" customFormat="1" x14ac:dyDescent="0.3">
      <c r="A262" s="5"/>
      <c r="C262" s="32"/>
    </row>
    <row r="263" spans="1:3" s="31" customFormat="1" x14ac:dyDescent="0.3">
      <c r="A263" s="5"/>
      <c r="C263" s="32"/>
    </row>
    <row r="264" spans="1:3" s="31" customFormat="1" x14ac:dyDescent="0.3">
      <c r="A264" s="5"/>
      <c r="C264" s="32"/>
    </row>
    <row r="265" spans="1:3" s="31" customFormat="1" x14ac:dyDescent="0.3">
      <c r="A265" s="5"/>
      <c r="C265" s="32"/>
    </row>
    <row r="266" spans="1:3" s="31" customFormat="1" x14ac:dyDescent="0.3">
      <c r="A266" s="5"/>
      <c r="C266" s="32"/>
    </row>
    <row r="267" spans="1:3" s="31" customFormat="1" x14ac:dyDescent="0.3">
      <c r="A267" s="5"/>
      <c r="C267" s="32"/>
    </row>
    <row r="268" spans="1:3" s="31" customFormat="1" x14ac:dyDescent="0.3">
      <c r="A268" s="5"/>
      <c r="C268" s="32"/>
    </row>
    <row r="269" spans="1:3" s="31" customFormat="1" x14ac:dyDescent="0.3">
      <c r="A269" s="5"/>
      <c r="C269" s="32"/>
    </row>
    <row r="270" spans="1:3" s="31" customFormat="1" x14ac:dyDescent="0.3">
      <c r="A270" s="5"/>
      <c r="C270" s="32"/>
    </row>
    <row r="271" spans="1:3" s="31" customFormat="1" x14ac:dyDescent="0.3">
      <c r="A271" s="5"/>
      <c r="C271" s="32"/>
    </row>
    <row r="272" spans="1:3" s="31" customFormat="1" x14ac:dyDescent="0.3">
      <c r="A272" s="5"/>
      <c r="C272" s="32"/>
    </row>
    <row r="273" spans="1:3" s="31" customFormat="1" x14ac:dyDescent="0.3">
      <c r="A273" s="5"/>
      <c r="C273" s="32"/>
    </row>
    <row r="274" spans="1:3" s="31" customFormat="1" x14ac:dyDescent="0.3">
      <c r="A274" s="5"/>
      <c r="C274" s="32"/>
    </row>
    <row r="275" spans="1:3" s="31" customFormat="1" x14ac:dyDescent="0.3">
      <c r="A275" s="5"/>
      <c r="C275" s="32"/>
    </row>
    <row r="276" spans="1:3" s="31" customFormat="1" x14ac:dyDescent="0.3">
      <c r="A276" s="5"/>
      <c r="C276" s="32"/>
    </row>
    <row r="277" spans="1:3" s="31" customFormat="1" x14ac:dyDescent="0.3">
      <c r="A277" s="5"/>
      <c r="C277" s="32"/>
    </row>
    <row r="278" spans="1:3" s="31" customFormat="1" x14ac:dyDescent="0.3">
      <c r="A278" s="5"/>
      <c r="C278" s="32"/>
    </row>
    <row r="279" spans="1:3" s="31" customFormat="1" x14ac:dyDescent="0.3">
      <c r="A279" s="5"/>
      <c r="C279" s="32"/>
    </row>
    <row r="280" spans="1:3" s="31" customFormat="1" x14ac:dyDescent="0.3">
      <c r="A280" s="5"/>
      <c r="C280" s="32"/>
    </row>
    <row r="281" spans="1:3" x14ac:dyDescent="0.25">
      <c r="C281" s="8"/>
    </row>
    <row r="282" spans="1:3" x14ac:dyDescent="0.25">
      <c r="C282" s="8"/>
    </row>
    <row r="283" spans="1:3" x14ac:dyDescent="0.25">
      <c r="C283" s="8"/>
    </row>
    <row r="284" spans="1:3" x14ac:dyDescent="0.25">
      <c r="C284" s="8"/>
    </row>
    <row r="285" spans="1:3" x14ac:dyDescent="0.25">
      <c r="C285" s="8"/>
    </row>
    <row r="286" spans="1:3" x14ac:dyDescent="0.25">
      <c r="C286" s="8"/>
    </row>
    <row r="287" spans="1:3" x14ac:dyDescent="0.25">
      <c r="C287" s="8"/>
    </row>
    <row r="288" spans="1:3" x14ac:dyDescent="0.25">
      <c r="C288" s="8"/>
    </row>
  </sheetData>
  <mergeCells count="14">
    <mergeCell ref="A222:B222"/>
    <mergeCell ref="A223:B223"/>
    <mergeCell ref="A28:A46"/>
    <mergeCell ref="B1:D1"/>
    <mergeCell ref="A3:C3"/>
    <mergeCell ref="B4:C4"/>
    <mergeCell ref="A6:A12"/>
    <mergeCell ref="A14:A23"/>
    <mergeCell ref="A24:A27"/>
    <mergeCell ref="A47:A102"/>
    <mergeCell ref="A103:A165"/>
    <mergeCell ref="A166:A168"/>
    <mergeCell ref="A169:A220"/>
    <mergeCell ref="A221:B221"/>
  </mergeCells>
  <pageMargins left="0.7" right="0.7" top="0.75" bottom="0.75" header="0.3" footer="0.3"/>
  <pageSetup paperSize="9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D291"/>
  <sheetViews>
    <sheetView view="pageBreakPreview" topLeftCell="A197" zoomScale="90" zoomScaleSheetLayoutView="90" workbookViewId="0">
      <selection activeCell="C213" sqref="C213:C216"/>
    </sheetView>
  </sheetViews>
  <sheetFormatPr defaultColWidth="9.109375" defaultRowHeight="13.8" x14ac:dyDescent="0.25"/>
  <cols>
    <col min="1" max="1" width="5" style="5" customWidth="1"/>
    <col min="2" max="2" width="30.109375" style="1" customWidth="1"/>
    <col min="3" max="3" width="41" style="3" customWidth="1"/>
    <col min="4" max="4" width="14.88671875" style="1" customWidth="1"/>
    <col min="5" max="16384" width="9.109375" style="1"/>
  </cols>
  <sheetData>
    <row r="1" spans="1:4" ht="55.5" customHeight="1" x14ac:dyDescent="0.25">
      <c r="B1" s="470" t="s">
        <v>124</v>
      </c>
      <c r="C1" s="470"/>
      <c r="D1" s="470"/>
    </row>
    <row r="2" spans="1:4" x14ac:dyDescent="0.25">
      <c r="C2" s="4" t="s">
        <v>95</v>
      </c>
    </row>
    <row r="3" spans="1:4" ht="17.25" customHeight="1" x14ac:dyDescent="0.25">
      <c r="A3" s="437" t="s">
        <v>97</v>
      </c>
      <c r="B3" s="437"/>
      <c r="C3" s="437"/>
    </row>
    <row r="4" spans="1:4" ht="17.25" customHeight="1" x14ac:dyDescent="0.25">
      <c r="A4" s="7"/>
      <c r="B4" s="441" t="s">
        <v>287</v>
      </c>
      <c r="C4" s="441"/>
    </row>
    <row r="5" spans="1:4" s="2" customFormat="1" ht="27" customHeight="1" x14ac:dyDescent="0.25">
      <c r="A5" s="177"/>
      <c r="B5" s="6"/>
      <c r="C5" s="177" t="s">
        <v>99</v>
      </c>
    </row>
    <row r="6" spans="1:4" s="13" customFormat="1" ht="12" x14ac:dyDescent="0.3">
      <c r="A6" s="440">
        <v>211</v>
      </c>
      <c r="B6" s="11" t="s">
        <v>100</v>
      </c>
      <c r="C6" s="12"/>
    </row>
    <row r="7" spans="1:4" s="13" customFormat="1" ht="12" x14ac:dyDescent="0.3">
      <c r="A7" s="440"/>
      <c r="B7" s="14" t="s">
        <v>55</v>
      </c>
      <c r="C7" s="15"/>
    </row>
    <row r="8" spans="1:4" s="13" customFormat="1" ht="12" x14ac:dyDescent="0.3">
      <c r="A8" s="440"/>
      <c r="B8" s="14" t="s">
        <v>56</v>
      </c>
      <c r="C8" s="15"/>
    </row>
    <row r="9" spans="1:4" s="13" customFormat="1" ht="12" x14ac:dyDescent="0.3">
      <c r="A9" s="440"/>
      <c r="B9" s="11" t="s">
        <v>57</v>
      </c>
      <c r="C9" s="12">
        <v>20625</v>
      </c>
    </row>
    <row r="10" spans="1:4" s="13" customFormat="1" ht="12" x14ac:dyDescent="0.3">
      <c r="A10" s="440"/>
      <c r="B10" s="14" t="s">
        <v>55</v>
      </c>
      <c r="C10" s="15">
        <v>2.75</v>
      </c>
    </row>
    <row r="11" spans="1:4" s="13" customFormat="1" ht="12" x14ac:dyDescent="0.3">
      <c r="A11" s="440"/>
      <c r="B11" s="14" t="s">
        <v>56</v>
      </c>
      <c r="C11" s="15">
        <v>7500</v>
      </c>
    </row>
    <row r="12" spans="1:4" s="13" customFormat="1" ht="17.25" customHeight="1" x14ac:dyDescent="0.3">
      <c r="A12" s="440"/>
      <c r="B12" s="16" t="s">
        <v>94</v>
      </c>
      <c r="C12" s="17">
        <v>247500</v>
      </c>
    </row>
    <row r="13" spans="1:4" s="13" customFormat="1" ht="16.5" customHeight="1" x14ac:dyDescent="0.3">
      <c r="A13" s="10">
        <v>213</v>
      </c>
      <c r="B13" s="16" t="s">
        <v>93</v>
      </c>
      <c r="C13" s="17">
        <v>74745</v>
      </c>
    </row>
    <row r="14" spans="1:4" s="13" customFormat="1" ht="12" x14ac:dyDescent="0.3">
      <c r="A14" s="440">
        <v>221</v>
      </c>
      <c r="B14" s="18" t="s">
        <v>58</v>
      </c>
      <c r="C14" s="12">
        <v>5952</v>
      </c>
    </row>
    <row r="15" spans="1:4" s="13" customFormat="1" ht="12" x14ac:dyDescent="0.3">
      <c r="A15" s="440"/>
      <c r="B15" s="14" t="s">
        <v>59</v>
      </c>
      <c r="C15" s="15">
        <v>1</v>
      </c>
    </row>
    <row r="16" spans="1:4" s="13" customFormat="1" ht="12" x14ac:dyDescent="0.3">
      <c r="A16" s="440"/>
      <c r="B16" s="14" t="s">
        <v>61</v>
      </c>
      <c r="C16" s="15">
        <v>496</v>
      </c>
    </row>
    <row r="17" spans="1:3" s="13" customFormat="1" ht="12" x14ac:dyDescent="0.3">
      <c r="A17" s="440"/>
      <c r="B17" s="18" t="s">
        <v>0</v>
      </c>
      <c r="C17" s="12">
        <v>4800</v>
      </c>
    </row>
    <row r="18" spans="1:3" s="13" customFormat="1" ht="12" x14ac:dyDescent="0.3">
      <c r="A18" s="440"/>
      <c r="B18" s="14" t="s">
        <v>79</v>
      </c>
      <c r="C18" s="15">
        <v>1</v>
      </c>
    </row>
    <row r="19" spans="1:3" s="13" customFormat="1" ht="12" x14ac:dyDescent="0.3">
      <c r="A19" s="440"/>
      <c r="B19" s="14" t="s">
        <v>60</v>
      </c>
      <c r="C19" s="15">
        <v>400</v>
      </c>
    </row>
    <row r="20" spans="1:3" s="13" customFormat="1" ht="12" x14ac:dyDescent="0.3">
      <c r="A20" s="440"/>
      <c r="B20" s="18" t="s">
        <v>1</v>
      </c>
      <c r="C20" s="12">
        <v>400</v>
      </c>
    </row>
    <row r="21" spans="1:3" s="13" customFormat="1" ht="12" x14ac:dyDescent="0.3">
      <c r="A21" s="440"/>
      <c r="B21" s="14" t="s">
        <v>80</v>
      </c>
      <c r="C21" s="15">
        <v>20</v>
      </c>
    </row>
    <row r="22" spans="1:3" s="13" customFormat="1" ht="12" x14ac:dyDescent="0.3">
      <c r="A22" s="440"/>
      <c r="B22" s="14" t="s">
        <v>107</v>
      </c>
      <c r="C22" s="15">
        <v>20</v>
      </c>
    </row>
    <row r="23" spans="1:3" s="13" customFormat="1" ht="12" x14ac:dyDescent="0.3">
      <c r="A23" s="440"/>
      <c r="B23" s="16" t="s">
        <v>92</v>
      </c>
      <c r="C23" s="17">
        <f>C14+C17+C20</f>
        <v>11152</v>
      </c>
    </row>
    <row r="24" spans="1:3" s="13" customFormat="1" ht="12" x14ac:dyDescent="0.3">
      <c r="A24" s="440">
        <v>222</v>
      </c>
      <c r="B24" s="18" t="s">
        <v>62</v>
      </c>
      <c r="C24" s="19">
        <v>7000</v>
      </c>
    </row>
    <row r="25" spans="1:3" s="13" customFormat="1" ht="12" x14ac:dyDescent="0.3">
      <c r="A25" s="440"/>
      <c r="B25" s="14" t="s">
        <v>81</v>
      </c>
      <c r="C25" s="15">
        <v>35</v>
      </c>
    </row>
    <row r="26" spans="1:3" s="13" customFormat="1" ht="12" x14ac:dyDescent="0.3">
      <c r="A26" s="440"/>
      <c r="B26" s="14" t="s">
        <v>106</v>
      </c>
      <c r="C26" s="15">
        <v>200</v>
      </c>
    </row>
    <row r="27" spans="1:3" s="13" customFormat="1" ht="12" x14ac:dyDescent="0.3">
      <c r="A27" s="440"/>
      <c r="B27" s="16" t="s">
        <v>91</v>
      </c>
      <c r="C27" s="17">
        <v>7000</v>
      </c>
    </row>
    <row r="28" spans="1:3" s="13" customFormat="1" ht="12" x14ac:dyDescent="0.3">
      <c r="A28" s="440">
        <v>223</v>
      </c>
      <c r="B28" s="11" t="s">
        <v>2</v>
      </c>
      <c r="C28" s="12">
        <v>198250</v>
      </c>
    </row>
    <row r="29" spans="1:3" s="13" customFormat="1" ht="12" x14ac:dyDescent="0.3">
      <c r="A29" s="440"/>
      <c r="B29" s="14" t="s">
        <v>82</v>
      </c>
      <c r="C29" s="15">
        <v>30500</v>
      </c>
    </row>
    <row r="30" spans="1:3" s="13" customFormat="1" ht="12" x14ac:dyDescent="0.3">
      <c r="A30" s="440"/>
      <c r="B30" s="14" t="s">
        <v>108</v>
      </c>
      <c r="C30" s="15">
        <v>6.5</v>
      </c>
    </row>
    <row r="31" spans="1:3" s="13" customFormat="1" ht="12" x14ac:dyDescent="0.3">
      <c r="A31" s="440"/>
      <c r="B31" s="11" t="s">
        <v>3</v>
      </c>
      <c r="C31" s="12">
        <v>2805957.31</v>
      </c>
    </row>
    <row r="32" spans="1:3" s="13" customFormat="1" ht="12" x14ac:dyDescent="0.3">
      <c r="A32" s="440"/>
      <c r="B32" s="14" t="s">
        <v>83</v>
      </c>
      <c r="C32" s="15">
        <v>368.9</v>
      </c>
    </row>
    <row r="33" spans="1:3" s="13" customFormat="1" ht="12" x14ac:dyDescent="0.3">
      <c r="A33" s="440"/>
      <c r="B33" s="14" t="s">
        <v>63</v>
      </c>
      <c r="C33" s="15">
        <v>7606.28</v>
      </c>
    </row>
    <row r="34" spans="1:3" s="13" customFormat="1" ht="12" x14ac:dyDescent="0.3">
      <c r="A34" s="440"/>
      <c r="B34" s="11" t="s">
        <v>4</v>
      </c>
      <c r="C34" s="12">
        <v>11629.82</v>
      </c>
    </row>
    <row r="35" spans="1:3" s="13" customFormat="1" ht="12" x14ac:dyDescent="0.3">
      <c r="A35" s="440"/>
      <c r="B35" s="14" t="s">
        <v>84</v>
      </c>
      <c r="C35" s="15">
        <v>161.16</v>
      </c>
    </row>
    <row r="36" spans="1:3" s="13" customFormat="1" ht="12" x14ac:dyDescent="0.3">
      <c r="A36" s="440"/>
      <c r="B36" s="14" t="s">
        <v>108</v>
      </c>
      <c r="C36" s="15">
        <v>72.16</v>
      </c>
    </row>
    <row r="37" spans="1:3" s="13" customFormat="1" ht="12" x14ac:dyDescent="0.3">
      <c r="A37" s="440"/>
      <c r="B37" s="11" t="s">
        <v>29</v>
      </c>
      <c r="C37" s="12"/>
    </row>
    <row r="38" spans="1:3" s="13" customFormat="1" ht="12" x14ac:dyDescent="0.3">
      <c r="A38" s="440"/>
      <c r="B38" s="14" t="s">
        <v>84</v>
      </c>
      <c r="C38" s="15"/>
    </row>
    <row r="39" spans="1:3" s="13" customFormat="1" ht="12" x14ac:dyDescent="0.3">
      <c r="A39" s="440"/>
      <c r="B39" s="14" t="s">
        <v>108</v>
      </c>
      <c r="C39" s="15"/>
    </row>
    <row r="40" spans="1:3" s="13" customFormat="1" ht="12" x14ac:dyDescent="0.3">
      <c r="A40" s="440"/>
      <c r="B40" s="11" t="s">
        <v>5</v>
      </c>
      <c r="C40" s="12"/>
    </row>
    <row r="41" spans="1:3" s="13" customFormat="1" ht="12" x14ac:dyDescent="0.3">
      <c r="A41" s="440"/>
      <c r="B41" s="14" t="s">
        <v>84</v>
      </c>
      <c r="C41" s="15"/>
    </row>
    <row r="42" spans="1:3" s="13" customFormat="1" ht="12" x14ac:dyDescent="0.3">
      <c r="A42" s="440"/>
      <c r="B42" s="14" t="s">
        <v>108</v>
      </c>
      <c r="C42" s="15"/>
    </row>
    <row r="43" spans="1:3" s="13" customFormat="1" ht="12" x14ac:dyDescent="0.3">
      <c r="A43" s="440"/>
      <c r="B43" s="11" t="s">
        <v>25</v>
      </c>
      <c r="C43" s="12">
        <v>37000</v>
      </c>
    </row>
    <row r="44" spans="1:3" s="13" customFormat="1" ht="12" x14ac:dyDescent="0.3">
      <c r="A44" s="440"/>
      <c r="B44" s="14" t="s">
        <v>67</v>
      </c>
      <c r="C44" s="15">
        <v>37</v>
      </c>
    </row>
    <row r="45" spans="1:3" s="13" customFormat="1" ht="12" x14ac:dyDescent="0.3">
      <c r="A45" s="440"/>
      <c r="B45" s="14" t="s">
        <v>108</v>
      </c>
      <c r="C45" s="15">
        <v>1000</v>
      </c>
    </row>
    <row r="46" spans="1:3" s="13" customFormat="1" ht="12" x14ac:dyDescent="0.3">
      <c r="A46" s="440"/>
      <c r="B46" s="16" t="s">
        <v>90</v>
      </c>
      <c r="C46" s="17">
        <f>C28+C31+C34+C43</f>
        <v>3052837.13</v>
      </c>
    </row>
    <row r="47" spans="1:3" s="13" customFormat="1" ht="12" x14ac:dyDescent="0.3">
      <c r="A47" s="440"/>
      <c r="B47" s="11" t="s">
        <v>6</v>
      </c>
      <c r="C47" s="12">
        <v>4200</v>
      </c>
    </row>
    <row r="48" spans="1:3" s="13" customFormat="1" ht="12" x14ac:dyDescent="0.3">
      <c r="A48" s="440"/>
      <c r="B48" s="14" t="s">
        <v>84</v>
      </c>
      <c r="C48" s="15">
        <v>12</v>
      </c>
    </row>
    <row r="49" spans="1:3" s="13" customFormat="1" ht="12" x14ac:dyDescent="0.3">
      <c r="A49" s="440"/>
      <c r="B49" s="14" t="s">
        <v>108</v>
      </c>
      <c r="C49" s="15">
        <v>350</v>
      </c>
    </row>
    <row r="50" spans="1:3" s="13" customFormat="1" ht="12" x14ac:dyDescent="0.3">
      <c r="A50" s="440"/>
      <c r="B50" s="11" t="s">
        <v>7</v>
      </c>
      <c r="C50" s="12">
        <v>5479.92</v>
      </c>
    </row>
    <row r="51" spans="1:3" s="13" customFormat="1" ht="12" x14ac:dyDescent="0.3">
      <c r="A51" s="440"/>
      <c r="B51" s="14" t="s">
        <v>70</v>
      </c>
      <c r="C51" s="15">
        <v>900</v>
      </c>
    </row>
    <row r="52" spans="1:3" s="13" customFormat="1" ht="12" x14ac:dyDescent="0.3">
      <c r="A52" s="440"/>
      <c r="B52" s="14" t="s">
        <v>108</v>
      </c>
      <c r="C52" s="15">
        <v>6.09</v>
      </c>
    </row>
    <row r="53" spans="1:3" s="13" customFormat="1" ht="22.8" x14ac:dyDescent="0.3">
      <c r="A53" s="440"/>
      <c r="B53" s="11" t="s">
        <v>54</v>
      </c>
      <c r="C53" s="12">
        <v>30000</v>
      </c>
    </row>
    <row r="54" spans="1:3" s="13" customFormat="1" ht="12" x14ac:dyDescent="0.3">
      <c r="A54" s="440"/>
      <c r="B54" s="20" t="s">
        <v>67</v>
      </c>
      <c r="C54" s="21">
        <v>12</v>
      </c>
    </row>
    <row r="55" spans="1:3" s="13" customFormat="1" ht="12" x14ac:dyDescent="0.3">
      <c r="A55" s="440"/>
      <c r="B55" s="14" t="s">
        <v>63</v>
      </c>
      <c r="C55" s="15">
        <v>2500</v>
      </c>
    </row>
    <row r="56" spans="1:3" s="13" customFormat="1" ht="12" x14ac:dyDescent="0.3">
      <c r="A56" s="440"/>
      <c r="B56" s="11" t="s">
        <v>8</v>
      </c>
      <c r="C56" s="12">
        <v>14400</v>
      </c>
    </row>
    <row r="57" spans="1:3" s="13" customFormat="1" ht="12" x14ac:dyDescent="0.3">
      <c r="A57" s="440"/>
      <c r="B57" s="14" t="s">
        <v>109</v>
      </c>
      <c r="C57" s="15">
        <v>12</v>
      </c>
    </row>
    <row r="58" spans="1:3" s="13" customFormat="1" ht="12" x14ac:dyDescent="0.3">
      <c r="A58" s="440"/>
      <c r="B58" s="14" t="s">
        <v>110</v>
      </c>
      <c r="C58" s="15">
        <v>1200</v>
      </c>
    </row>
    <row r="59" spans="1:3" s="13" customFormat="1" ht="12" x14ac:dyDescent="0.3">
      <c r="A59" s="440"/>
      <c r="B59" s="11" t="s">
        <v>28</v>
      </c>
      <c r="C59" s="12"/>
    </row>
    <row r="60" spans="1:3" s="13" customFormat="1" ht="12" x14ac:dyDescent="0.3">
      <c r="A60" s="440"/>
      <c r="B60" s="14" t="s">
        <v>67</v>
      </c>
      <c r="C60" s="15"/>
    </row>
    <row r="61" spans="1:3" s="13" customFormat="1" ht="12" x14ac:dyDescent="0.3">
      <c r="A61" s="440"/>
      <c r="B61" s="14" t="s">
        <v>111</v>
      </c>
      <c r="C61" s="15"/>
    </row>
    <row r="62" spans="1:3" s="13" customFormat="1" ht="12" x14ac:dyDescent="0.3">
      <c r="A62" s="440"/>
      <c r="B62" s="11" t="s">
        <v>96</v>
      </c>
      <c r="C62" s="12"/>
    </row>
    <row r="63" spans="1:3" s="13" customFormat="1" ht="12" x14ac:dyDescent="0.3">
      <c r="A63" s="440"/>
      <c r="B63" s="14" t="s">
        <v>109</v>
      </c>
      <c r="C63" s="15"/>
    </row>
    <row r="64" spans="1:3" s="13" customFormat="1" ht="12" x14ac:dyDescent="0.3">
      <c r="A64" s="440"/>
      <c r="B64" s="14" t="s">
        <v>110</v>
      </c>
      <c r="C64" s="15"/>
    </row>
    <row r="65" spans="1:3" s="13" customFormat="1" ht="12" x14ac:dyDescent="0.3">
      <c r="A65" s="440"/>
      <c r="B65" s="11" t="s">
        <v>103</v>
      </c>
      <c r="C65" s="12">
        <v>30000</v>
      </c>
    </row>
    <row r="66" spans="1:3" s="13" customFormat="1" ht="12" x14ac:dyDescent="0.3">
      <c r="A66" s="440"/>
      <c r="B66" s="14" t="s">
        <v>109</v>
      </c>
      <c r="C66" s="15">
        <v>12</v>
      </c>
    </row>
    <row r="67" spans="1:3" s="13" customFormat="1" ht="12" x14ac:dyDescent="0.3">
      <c r="A67" s="440"/>
      <c r="B67" s="14" t="s">
        <v>110</v>
      </c>
      <c r="C67" s="15">
        <v>2500</v>
      </c>
    </row>
    <row r="68" spans="1:3" s="13" customFormat="1" ht="12" x14ac:dyDescent="0.3">
      <c r="A68" s="440"/>
      <c r="B68" s="11" t="s">
        <v>26</v>
      </c>
      <c r="C68" s="12">
        <v>6000</v>
      </c>
    </row>
    <row r="69" spans="1:3" s="13" customFormat="1" ht="12" x14ac:dyDescent="0.3">
      <c r="A69" s="440"/>
      <c r="B69" s="14" t="s">
        <v>109</v>
      </c>
      <c r="C69" s="15">
        <v>12</v>
      </c>
    </row>
    <row r="70" spans="1:3" s="13" customFormat="1" ht="12" x14ac:dyDescent="0.3">
      <c r="A70" s="440"/>
      <c r="B70" s="14" t="s">
        <v>110</v>
      </c>
      <c r="C70" s="15">
        <v>500</v>
      </c>
    </row>
    <row r="71" spans="1:3" s="13" customFormat="1" ht="12" x14ac:dyDescent="0.3">
      <c r="A71" s="440"/>
      <c r="B71" s="22" t="s">
        <v>101</v>
      </c>
      <c r="C71" s="12"/>
    </row>
    <row r="72" spans="1:3" s="13" customFormat="1" ht="12" x14ac:dyDescent="0.3">
      <c r="A72" s="440"/>
      <c r="B72" s="23" t="s">
        <v>46</v>
      </c>
      <c r="C72" s="24"/>
    </row>
    <row r="73" spans="1:3" s="13" customFormat="1" ht="12" x14ac:dyDescent="0.3">
      <c r="A73" s="440"/>
      <c r="B73" s="11" t="s">
        <v>102</v>
      </c>
      <c r="C73" s="12">
        <v>20000</v>
      </c>
    </row>
    <row r="74" spans="1:3" s="13" customFormat="1" ht="12" x14ac:dyDescent="0.3">
      <c r="A74" s="440"/>
      <c r="B74" s="14" t="s">
        <v>67</v>
      </c>
      <c r="C74" s="15">
        <v>4</v>
      </c>
    </row>
    <row r="75" spans="1:3" s="13" customFormat="1" ht="12" x14ac:dyDescent="0.3">
      <c r="A75" s="440"/>
      <c r="B75" s="14" t="s">
        <v>69</v>
      </c>
      <c r="C75" s="15">
        <v>1</v>
      </c>
    </row>
    <row r="76" spans="1:3" s="13" customFormat="1" ht="12" x14ac:dyDescent="0.3">
      <c r="A76" s="440"/>
      <c r="B76" s="14" t="s">
        <v>105</v>
      </c>
      <c r="C76" s="15">
        <v>5000</v>
      </c>
    </row>
    <row r="77" spans="1:3" s="13" customFormat="1" ht="12" x14ac:dyDescent="0.3">
      <c r="A77" s="440"/>
      <c r="B77" s="11" t="s">
        <v>31</v>
      </c>
      <c r="C77" s="12">
        <v>1960</v>
      </c>
    </row>
    <row r="78" spans="1:3" s="13" customFormat="1" ht="12" x14ac:dyDescent="0.3">
      <c r="A78" s="440"/>
      <c r="B78" s="14" t="s">
        <v>109</v>
      </c>
      <c r="C78" s="15">
        <v>2</v>
      </c>
    </row>
    <row r="79" spans="1:3" s="13" customFormat="1" ht="12" x14ac:dyDescent="0.3">
      <c r="A79" s="440"/>
      <c r="B79" s="14" t="s">
        <v>110</v>
      </c>
      <c r="C79" s="15">
        <v>980</v>
      </c>
    </row>
    <row r="80" spans="1:3" s="13" customFormat="1" ht="12" x14ac:dyDescent="0.3">
      <c r="A80" s="440"/>
      <c r="B80" s="11" t="s">
        <v>32</v>
      </c>
      <c r="C80" s="12">
        <v>6000</v>
      </c>
    </row>
    <row r="81" spans="1:3" s="13" customFormat="1" ht="12" x14ac:dyDescent="0.3">
      <c r="A81" s="440"/>
      <c r="B81" s="14" t="s">
        <v>109</v>
      </c>
      <c r="C81" s="15">
        <v>12</v>
      </c>
    </row>
    <row r="82" spans="1:3" s="13" customFormat="1" ht="12" x14ac:dyDescent="0.3">
      <c r="A82" s="440"/>
      <c r="B82" s="14" t="s">
        <v>110</v>
      </c>
      <c r="C82" s="15">
        <v>500</v>
      </c>
    </row>
    <row r="83" spans="1:3" s="13" customFormat="1" ht="12" x14ac:dyDescent="0.3">
      <c r="A83" s="440"/>
      <c r="B83" s="11" t="s">
        <v>49</v>
      </c>
      <c r="C83" s="12"/>
    </row>
    <row r="84" spans="1:3" s="13" customFormat="1" ht="12" x14ac:dyDescent="0.3">
      <c r="A84" s="440"/>
      <c r="B84" s="14" t="s">
        <v>65</v>
      </c>
      <c r="C84" s="15"/>
    </row>
    <row r="85" spans="1:3" s="13" customFormat="1" ht="12" x14ac:dyDescent="0.3">
      <c r="A85" s="440"/>
      <c r="B85" s="14" t="s">
        <v>68</v>
      </c>
      <c r="C85" s="15"/>
    </row>
    <row r="86" spans="1:3" s="13" customFormat="1" ht="12" x14ac:dyDescent="0.3">
      <c r="A86" s="440"/>
      <c r="B86" s="14" t="s">
        <v>63</v>
      </c>
      <c r="C86" s="15"/>
    </row>
    <row r="87" spans="1:3" s="13" customFormat="1" ht="12" x14ac:dyDescent="0.3">
      <c r="A87" s="440"/>
      <c r="B87" s="11" t="s">
        <v>33</v>
      </c>
      <c r="C87" s="12"/>
    </row>
    <row r="88" spans="1:3" s="13" customFormat="1" ht="12" x14ac:dyDescent="0.3">
      <c r="A88" s="440"/>
      <c r="B88" s="25" t="s">
        <v>43</v>
      </c>
      <c r="C88" s="24"/>
    </row>
    <row r="89" spans="1:3" s="13" customFormat="1" ht="12" x14ac:dyDescent="0.3">
      <c r="A89" s="440"/>
      <c r="B89" s="11" t="s">
        <v>51</v>
      </c>
      <c r="C89" s="12"/>
    </row>
    <row r="90" spans="1:3" s="13" customFormat="1" ht="12" x14ac:dyDescent="0.3">
      <c r="A90" s="440"/>
      <c r="B90" s="14" t="s">
        <v>104</v>
      </c>
      <c r="C90" s="15"/>
    </row>
    <row r="91" spans="1:3" s="13" customFormat="1" ht="12" x14ac:dyDescent="0.3">
      <c r="A91" s="440"/>
      <c r="B91" s="14" t="s">
        <v>105</v>
      </c>
      <c r="C91" s="15"/>
    </row>
    <row r="92" spans="1:3" s="13" customFormat="1" ht="12" x14ac:dyDescent="0.3">
      <c r="A92" s="440"/>
      <c r="B92" s="11" t="s">
        <v>52</v>
      </c>
      <c r="C92" s="12">
        <v>18000</v>
      </c>
    </row>
    <row r="93" spans="1:3" s="13" customFormat="1" ht="12" x14ac:dyDescent="0.3">
      <c r="A93" s="440"/>
      <c r="B93" s="14" t="s">
        <v>109</v>
      </c>
      <c r="C93" s="15">
        <v>12</v>
      </c>
    </row>
    <row r="94" spans="1:3" s="13" customFormat="1" ht="12" x14ac:dyDescent="0.3">
      <c r="A94" s="440"/>
      <c r="B94" s="14" t="s">
        <v>110</v>
      </c>
      <c r="C94" s="15">
        <v>1500</v>
      </c>
    </row>
    <row r="95" spans="1:3" s="13" customFormat="1" ht="12" x14ac:dyDescent="0.3">
      <c r="A95" s="440"/>
      <c r="B95" s="11" t="s">
        <v>45</v>
      </c>
      <c r="C95" s="12">
        <v>80000</v>
      </c>
    </row>
    <row r="96" spans="1:3" s="13" customFormat="1" ht="12" x14ac:dyDescent="0.3">
      <c r="A96" s="440"/>
      <c r="B96" s="25" t="s">
        <v>9</v>
      </c>
      <c r="C96" s="24">
        <v>30000</v>
      </c>
    </row>
    <row r="97" spans="1:3" s="36" customFormat="1" ht="26.25" customHeight="1" x14ac:dyDescent="0.3">
      <c r="A97" s="440"/>
      <c r="B97" s="25" t="s">
        <v>288</v>
      </c>
      <c r="C97" s="24">
        <v>5000.8900000000003</v>
      </c>
    </row>
    <row r="98" spans="1:3" s="36" customFormat="1" ht="22.8" x14ac:dyDescent="0.3">
      <c r="A98" s="440"/>
      <c r="B98" s="25" t="s">
        <v>289</v>
      </c>
      <c r="C98" s="24">
        <v>18000</v>
      </c>
    </row>
    <row r="99" spans="1:3" s="284" customFormat="1" ht="12" x14ac:dyDescent="0.3">
      <c r="A99" s="440"/>
      <c r="B99" s="23" t="s">
        <v>290</v>
      </c>
      <c r="C99" s="283">
        <v>6459.32</v>
      </c>
    </row>
    <row r="100" spans="1:3" s="36" customFormat="1" ht="12" x14ac:dyDescent="0.3">
      <c r="A100" s="440"/>
      <c r="B100" s="25" t="s">
        <v>291</v>
      </c>
      <c r="C100" s="24">
        <v>179775</v>
      </c>
    </row>
    <row r="101" spans="1:3" s="36" customFormat="1" ht="12" x14ac:dyDescent="0.3">
      <c r="A101" s="440"/>
      <c r="B101" s="25" t="s">
        <v>292</v>
      </c>
      <c r="C101" s="24">
        <v>554400</v>
      </c>
    </row>
    <row r="102" spans="1:3" s="36" customFormat="1" ht="12" x14ac:dyDescent="0.3">
      <c r="A102" s="440"/>
      <c r="B102" s="28" t="s">
        <v>293</v>
      </c>
      <c r="C102" s="35">
        <v>50000</v>
      </c>
    </row>
    <row r="103" spans="1:3" s="13" customFormat="1" ht="29.25" customHeight="1" x14ac:dyDescent="0.3">
      <c r="A103" s="440"/>
      <c r="B103" s="16" t="s">
        <v>89</v>
      </c>
      <c r="C103" s="17">
        <f>C47+C50+C53+C56+C65+C68+C73+C77+C80+C92+C95+C96+C97+C98+C99+C100+C101+C102</f>
        <v>1059675.1299999999</v>
      </c>
    </row>
    <row r="104" spans="1:3" s="13" customFormat="1" ht="12" x14ac:dyDescent="0.3">
      <c r="A104" s="434">
        <v>226</v>
      </c>
      <c r="B104" s="25" t="s">
        <v>10</v>
      </c>
      <c r="C104" s="24">
        <v>17856</v>
      </c>
    </row>
    <row r="105" spans="1:3" s="13" customFormat="1" ht="12" x14ac:dyDescent="0.3">
      <c r="A105" s="435"/>
      <c r="B105" s="11" t="s">
        <v>11</v>
      </c>
      <c r="C105" s="12">
        <v>63000</v>
      </c>
    </row>
    <row r="106" spans="1:3" s="13" customFormat="1" ht="12" x14ac:dyDescent="0.3">
      <c r="A106" s="435"/>
      <c r="B106" s="14" t="s">
        <v>68</v>
      </c>
      <c r="C106" s="15">
        <v>21</v>
      </c>
    </row>
    <row r="107" spans="1:3" s="13" customFormat="1" ht="21" customHeight="1" x14ac:dyDescent="0.3">
      <c r="A107" s="435"/>
      <c r="B107" s="14" t="s">
        <v>112</v>
      </c>
      <c r="C107" s="15">
        <v>3000</v>
      </c>
    </row>
    <row r="108" spans="1:3" s="13" customFormat="1" ht="27" customHeight="1" x14ac:dyDescent="0.3">
      <c r="A108" s="435"/>
      <c r="B108" s="11" t="s">
        <v>42</v>
      </c>
      <c r="C108" s="12"/>
    </row>
    <row r="109" spans="1:3" s="13" customFormat="1" ht="12" x14ac:dyDescent="0.3">
      <c r="A109" s="435"/>
      <c r="B109" s="14" t="s">
        <v>68</v>
      </c>
      <c r="C109" s="15"/>
    </row>
    <row r="110" spans="1:3" s="13" customFormat="1" ht="12" x14ac:dyDescent="0.3">
      <c r="A110" s="435"/>
      <c r="B110" s="14" t="s">
        <v>112</v>
      </c>
      <c r="C110" s="15"/>
    </row>
    <row r="111" spans="1:3" s="13" customFormat="1" ht="12" x14ac:dyDescent="0.3">
      <c r="A111" s="435"/>
      <c r="B111" s="11" t="s">
        <v>12</v>
      </c>
      <c r="C111" s="12">
        <v>48000</v>
      </c>
    </row>
    <row r="112" spans="1:3" s="13" customFormat="1" ht="12" x14ac:dyDescent="0.3">
      <c r="A112" s="435"/>
      <c r="B112" s="14" t="s">
        <v>109</v>
      </c>
      <c r="C112" s="15">
        <v>12</v>
      </c>
    </row>
    <row r="113" spans="1:3" s="13" customFormat="1" ht="12" x14ac:dyDescent="0.3">
      <c r="A113" s="435"/>
      <c r="B113" s="14" t="s">
        <v>110</v>
      </c>
      <c r="C113" s="15">
        <v>4000</v>
      </c>
    </row>
    <row r="114" spans="1:3" s="13" customFormat="1" ht="12" x14ac:dyDescent="0.3">
      <c r="A114" s="435"/>
      <c r="B114" s="11" t="s">
        <v>36</v>
      </c>
      <c r="C114" s="12">
        <v>30000</v>
      </c>
    </row>
    <row r="115" spans="1:3" s="13" customFormat="1" ht="12" x14ac:dyDescent="0.3">
      <c r="A115" s="435"/>
      <c r="B115" s="14" t="s">
        <v>109</v>
      </c>
      <c r="C115" s="15">
        <v>12</v>
      </c>
    </row>
    <row r="116" spans="1:3" s="13" customFormat="1" ht="12" x14ac:dyDescent="0.3">
      <c r="A116" s="435"/>
      <c r="B116" s="14" t="s">
        <v>110</v>
      </c>
      <c r="C116" s="15">
        <v>2500</v>
      </c>
    </row>
    <row r="117" spans="1:3" s="13" customFormat="1" ht="12" x14ac:dyDescent="0.3">
      <c r="A117" s="435"/>
      <c r="B117" s="11" t="s">
        <v>113</v>
      </c>
      <c r="C117" s="12">
        <v>6000</v>
      </c>
    </row>
    <row r="118" spans="1:3" s="13" customFormat="1" ht="12" x14ac:dyDescent="0.3">
      <c r="A118" s="435"/>
      <c r="B118" s="14" t="s">
        <v>109</v>
      </c>
      <c r="C118" s="15">
        <v>1</v>
      </c>
    </row>
    <row r="119" spans="1:3" s="13" customFormat="1" ht="12" x14ac:dyDescent="0.3">
      <c r="A119" s="435"/>
      <c r="B119" s="14" t="s">
        <v>110</v>
      </c>
      <c r="C119" s="15">
        <v>6000</v>
      </c>
    </row>
    <row r="120" spans="1:3" s="13" customFormat="1" ht="12" x14ac:dyDescent="0.3">
      <c r="A120" s="435"/>
      <c r="B120" s="11" t="s">
        <v>41</v>
      </c>
      <c r="C120" s="12">
        <v>1025</v>
      </c>
    </row>
    <row r="121" spans="1:3" s="13" customFormat="1" ht="12" x14ac:dyDescent="0.3">
      <c r="A121" s="435"/>
      <c r="B121" s="14" t="s">
        <v>66</v>
      </c>
      <c r="C121" s="15">
        <v>1</v>
      </c>
    </row>
    <row r="122" spans="1:3" s="13" customFormat="1" ht="12" x14ac:dyDescent="0.3">
      <c r="A122" s="435"/>
      <c r="B122" s="14" t="s">
        <v>63</v>
      </c>
      <c r="C122" s="15">
        <v>1025</v>
      </c>
    </row>
    <row r="123" spans="1:3" s="13" customFormat="1" ht="12" x14ac:dyDescent="0.3">
      <c r="A123" s="435"/>
      <c r="B123" s="11" t="s">
        <v>40</v>
      </c>
      <c r="C123" s="12">
        <v>5968</v>
      </c>
    </row>
    <row r="124" spans="1:3" s="13" customFormat="1" ht="12" x14ac:dyDescent="0.3">
      <c r="A124" s="435"/>
      <c r="B124" s="14" t="s">
        <v>66</v>
      </c>
      <c r="C124" s="15">
        <v>1</v>
      </c>
    </row>
    <row r="125" spans="1:3" s="13" customFormat="1" ht="12" x14ac:dyDescent="0.3">
      <c r="A125" s="435"/>
      <c r="B125" s="14" t="s">
        <v>63</v>
      </c>
      <c r="C125" s="15">
        <v>5968</v>
      </c>
    </row>
    <row r="126" spans="1:3" s="13" customFormat="1" ht="12" x14ac:dyDescent="0.3">
      <c r="A126" s="435"/>
      <c r="B126" s="11" t="s">
        <v>37</v>
      </c>
      <c r="C126" s="12">
        <v>1000</v>
      </c>
    </row>
    <row r="127" spans="1:3" s="13" customFormat="1" ht="12" x14ac:dyDescent="0.3">
      <c r="A127" s="435"/>
      <c r="B127" s="25" t="s">
        <v>44</v>
      </c>
      <c r="C127" s="24">
        <v>15000</v>
      </c>
    </row>
    <row r="128" spans="1:3" s="13" customFormat="1" ht="12" x14ac:dyDescent="0.3">
      <c r="A128" s="435"/>
      <c r="B128" s="14" t="s">
        <v>66</v>
      </c>
      <c r="C128" s="15">
        <v>10</v>
      </c>
    </row>
    <row r="129" spans="1:3" s="13" customFormat="1" ht="12" x14ac:dyDescent="0.3">
      <c r="A129" s="435"/>
      <c r="B129" s="14" t="s">
        <v>63</v>
      </c>
      <c r="C129" s="15">
        <v>1500</v>
      </c>
    </row>
    <row r="130" spans="1:3" s="13" customFormat="1" ht="12" x14ac:dyDescent="0.3">
      <c r="A130" s="435"/>
      <c r="B130" s="25" t="s">
        <v>13</v>
      </c>
      <c r="C130" s="24"/>
    </row>
    <row r="131" spans="1:3" s="13" customFormat="1" ht="12" x14ac:dyDescent="0.3">
      <c r="A131" s="435"/>
      <c r="B131" s="11" t="s">
        <v>14</v>
      </c>
      <c r="C131" s="12"/>
    </row>
    <row r="132" spans="1:3" s="13" customFormat="1" ht="12" x14ac:dyDescent="0.3">
      <c r="A132" s="435"/>
      <c r="B132" s="25" t="s">
        <v>30</v>
      </c>
      <c r="C132" s="24">
        <v>4500</v>
      </c>
    </row>
    <row r="133" spans="1:3" s="13" customFormat="1" ht="12" x14ac:dyDescent="0.3">
      <c r="A133" s="435"/>
      <c r="B133" s="25" t="s">
        <v>294</v>
      </c>
      <c r="C133" s="24">
        <v>73418</v>
      </c>
    </row>
    <row r="134" spans="1:3" s="13" customFormat="1" ht="12" x14ac:dyDescent="0.3">
      <c r="A134" s="435"/>
      <c r="B134" s="11" t="s">
        <v>48</v>
      </c>
      <c r="C134" s="12"/>
    </row>
    <row r="135" spans="1:3" s="13" customFormat="1" ht="12" x14ac:dyDescent="0.3">
      <c r="A135" s="435"/>
      <c r="B135" s="14" t="s">
        <v>66</v>
      </c>
      <c r="C135" s="15"/>
    </row>
    <row r="136" spans="1:3" s="13" customFormat="1" ht="12" x14ac:dyDescent="0.3">
      <c r="A136" s="435"/>
      <c r="B136" s="14" t="s">
        <v>63</v>
      </c>
      <c r="C136" s="15"/>
    </row>
    <row r="137" spans="1:3" s="13" customFormat="1" ht="12" x14ac:dyDescent="0.3">
      <c r="A137" s="435"/>
      <c r="B137" s="11" t="s">
        <v>15</v>
      </c>
      <c r="C137" s="12">
        <v>3500</v>
      </c>
    </row>
    <row r="138" spans="1:3" s="13" customFormat="1" ht="12" x14ac:dyDescent="0.3">
      <c r="A138" s="435"/>
      <c r="B138" s="25" t="s">
        <v>16</v>
      </c>
      <c r="C138" s="24">
        <v>25650</v>
      </c>
    </row>
    <row r="139" spans="1:3" s="13" customFormat="1" ht="12" x14ac:dyDescent="0.3">
      <c r="A139" s="435"/>
      <c r="B139" s="14" t="s">
        <v>66</v>
      </c>
      <c r="C139" s="15">
        <v>5</v>
      </c>
    </row>
    <row r="140" spans="1:3" s="13" customFormat="1" ht="12" x14ac:dyDescent="0.3">
      <c r="A140" s="435"/>
      <c r="B140" s="14" t="s">
        <v>112</v>
      </c>
      <c r="C140" s="15">
        <v>5130</v>
      </c>
    </row>
    <row r="141" spans="1:3" s="13" customFormat="1" ht="12" x14ac:dyDescent="0.3">
      <c r="A141" s="435"/>
      <c r="B141" s="11" t="s">
        <v>34</v>
      </c>
      <c r="C141" s="12">
        <v>17125.48</v>
      </c>
    </row>
    <row r="142" spans="1:3" s="13" customFormat="1" ht="12" x14ac:dyDescent="0.3">
      <c r="A142" s="435"/>
      <c r="B142" s="14" t="s">
        <v>66</v>
      </c>
      <c r="C142" s="15">
        <v>1</v>
      </c>
    </row>
    <row r="143" spans="1:3" s="13" customFormat="1" ht="12" x14ac:dyDescent="0.3">
      <c r="A143" s="435"/>
      <c r="B143" s="14" t="s">
        <v>63</v>
      </c>
      <c r="C143" s="15">
        <v>3979.21</v>
      </c>
    </row>
    <row r="144" spans="1:3" s="13" customFormat="1" ht="12" x14ac:dyDescent="0.3">
      <c r="A144" s="435"/>
      <c r="B144" s="14" t="s">
        <v>66</v>
      </c>
      <c r="C144" s="15">
        <v>1</v>
      </c>
    </row>
    <row r="145" spans="1:3" s="13" customFormat="1" ht="12" x14ac:dyDescent="0.3">
      <c r="A145" s="435"/>
      <c r="B145" s="14" t="s">
        <v>63</v>
      </c>
      <c r="C145" s="15">
        <v>13146.27</v>
      </c>
    </row>
    <row r="146" spans="1:3" s="13" customFormat="1" ht="12" x14ac:dyDescent="0.3">
      <c r="A146" s="435"/>
      <c r="B146" s="11" t="s">
        <v>35</v>
      </c>
      <c r="C146" s="12">
        <v>24000</v>
      </c>
    </row>
    <row r="147" spans="1:3" s="13" customFormat="1" ht="12" x14ac:dyDescent="0.3">
      <c r="A147" s="435"/>
      <c r="B147" s="14" t="s">
        <v>64</v>
      </c>
      <c r="C147" s="15"/>
    </row>
    <row r="148" spans="1:3" s="13" customFormat="1" ht="12" x14ac:dyDescent="0.3">
      <c r="A148" s="435"/>
      <c r="B148" s="14" t="s">
        <v>68</v>
      </c>
      <c r="C148" s="15"/>
    </row>
    <row r="149" spans="1:3" s="13" customFormat="1" ht="12" x14ac:dyDescent="0.3">
      <c r="A149" s="435"/>
      <c r="B149" s="14" t="s">
        <v>63</v>
      </c>
      <c r="C149" s="15"/>
    </row>
    <row r="150" spans="1:3" s="13" customFormat="1" ht="12" x14ac:dyDescent="0.3">
      <c r="A150" s="435"/>
      <c r="B150" s="11" t="s">
        <v>50</v>
      </c>
      <c r="C150" s="12">
        <v>20480</v>
      </c>
    </row>
    <row r="151" spans="1:3" s="13" customFormat="1" ht="12" x14ac:dyDescent="0.3">
      <c r="A151" s="435"/>
      <c r="B151" s="14" t="s">
        <v>64</v>
      </c>
      <c r="C151" s="15">
        <v>256</v>
      </c>
    </row>
    <row r="152" spans="1:3" s="13" customFormat="1" ht="12" x14ac:dyDescent="0.3">
      <c r="A152" s="435"/>
      <c r="B152" s="14" t="s">
        <v>68</v>
      </c>
      <c r="C152" s="15">
        <v>1</v>
      </c>
    </row>
    <row r="153" spans="1:3" s="13" customFormat="1" ht="12" x14ac:dyDescent="0.3">
      <c r="A153" s="435"/>
      <c r="B153" s="14" t="s">
        <v>63</v>
      </c>
      <c r="C153" s="15">
        <v>80</v>
      </c>
    </row>
    <row r="154" spans="1:3" s="26" customFormat="1" ht="11.4" x14ac:dyDescent="0.3">
      <c r="A154" s="435"/>
      <c r="B154" s="11" t="s">
        <v>47</v>
      </c>
      <c r="C154" s="12"/>
    </row>
    <row r="155" spans="1:3" s="26" customFormat="1" ht="22.8" x14ac:dyDescent="0.3">
      <c r="A155" s="435"/>
      <c r="B155" s="11" t="s">
        <v>295</v>
      </c>
      <c r="C155" s="12">
        <v>39600</v>
      </c>
    </row>
    <row r="156" spans="1:3" s="26" customFormat="1" ht="11.4" x14ac:dyDescent="0.3">
      <c r="A156" s="435"/>
      <c r="B156" s="25" t="s">
        <v>27</v>
      </c>
      <c r="C156" s="24">
        <v>8880</v>
      </c>
    </row>
    <row r="157" spans="1:3" s="13" customFormat="1" ht="12" x14ac:dyDescent="0.3">
      <c r="A157" s="435"/>
      <c r="B157" s="14" t="s">
        <v>114</v>
      </c>
      <c r="C157" s="15">
        <v>12</v>
      </c>
    </row>
    <row r="158" spans="1:3" s="13" customFormat="1" ht="12" x14ac:dyDescent="0.3">
      <c r="A158" s="435"/>
      <c r="B158" s="14" t="s">
        <v>110</v>
      </c>
      <c r="C158" s="15">
        <v>740</v>
      </c>
    </row>
    <row r="159" spans="1:3" s="26" customFormat="1" ht="11.4" x14ac:dyDescent="0.3">
      <c r="A159" s="435"/>
      <c r="B159" s="11" t="s">
        <v>17</v>
      </c>
      <c r="C159" s="12"/>
    </row>
    <row r="160" spans="1:3" s="13" customFormat="1" ht="12" x14ac:dyDescent="0.3">
      <c r="A160" s="435"/>
      <c r="B160" s="14" t="s">
        <v>114</v>
      </c>
      <c r="C160" s="15"/>
    </row>
    <row r="161" spans="1:3" s="13" customFormat="1" ht="12" x14ac:dyDescent="0.3">
      <c r="A161" s="435"/>
      <c r="B161" s="14" t="s">
        <v>110</v>
      </c>
      <c r="C161" s="15"/>
    </row>
    <row r="162" spans="1:3" s="26" customFormat="1" ht="11.4" x14ac:dyDescent="0.3">
      <c r="A162" s="435"/>
      <c r="B162" s="11" t="s">
        <v>18</v>
      </c>
      <c r="C162" s="12">
        <v>360</v>
      </c>
    </row>
    <row r="163" spans="1:3" s="13" customFormat="1" ht="12" x14ac:dyDescent="0.3">
      <c r="A163" s="435"/>
      <c r="B163" s="14" t="s">
        <v>66</v>
      </c>
      <c r="C163" s="15">
        <v>30</v>
      </c>
    </row>
    <row r="164" spans="1:3" s="13" customFormat="1" ht="12" x14ac:dyDescent="0.3">
      <c r="A164" s="435"/>
      <c r="B164" s="14" t="s">
        <v>63</v>
      </c>
      <c r="C164" s="15">
        <v>12</v>
      </c>
    </row>
    <row r="165" spans="1:3" s="26" customFormat="1" ht="11.4" x14ac:dyDescent="0.3">
      <c r="A165" s="435"/>
      <c r="B165" s="11" t="s">
        <v>19</v>
      </c>
      <c r="C165" s="12"/>
    </row>
    <row r="166" spans="1:3" s="13" customFormat="1" ht="12" x14ac:dyDescent="0.3">
      <c r="A166" s="435"/>
      <c r="B166" s="14" t="s">
        <v>66</v>
      </c>
      <c r="C166" s="15"/>
    </row>
    <row r="167" spans="1:3" s="13" customFormat="1" ht="12" x14ac:dyDescent="0.3">
      <c r="A167" s="435"/>
      <c r="B167" s="14" t="s">
        <v>63</v>
      </c>
      <c r="C167" s="15"/>
    </row>
    <row r="168" spans="1:3" s="26" customFormat="1" ht="11.4" x14ac:dyDescent="0.3">
      <c r="A168" s="436"/>
      <c r="B168" s="16" t="s">
        <v>88</v>
      </c>
      <c r="C168" s="17">
        <f>C104+C105+C111+C114+C117+C120+C123+C126+C127+C132+C133+C137+C138+C141+C146+C150+C155+C156+C162</f>
        <v>405362.48</v>
      </c>
    </row>
    <row r="169" spans="1:3" s="13" customFormat="1" ht="12" x14ac:dyDescent="0.3">
      <c r="A169" s="440">
        <v>290</v>
      </c>
      <c r="B169" s="27" t="s">
        <v>20</v>
      </c>
      <c r="C169" s="15">
        <v>53664</v>
      </c>
    </row>
    <row r="170" spans="1:3" s="13" customFormat="1" ht="12" x14ac:dyDescent="0.3">
      <c r="A170" s="440"/>
      <c r="B170" s="27" t="s">
        <v>21</v>
      </c>
      <c r="C170" s="15">
        <v>9228</v>
      </c>
    </row>
    <row r="171" spans="1:3" s="26" customFormat="1" ht="11.4" x14ac:dyDescent="0.3">
      <c r="A171" s="440"/>
      <c r="B171" s="16" t="s">
        <v>87</v>
      </c>
      <c r="C171" s="17">
        <v>62892</v>
      </c>
    </row>
    <row r="172" spans="1:3" s="26" customFormat="1" ht="11.4" x14ac:dyDescent="0.3">
      <c r="A172" s="434">
        <v>310</v>
      </c>
      <c r="B172" s="235" t="s">
        <v>266</v>
      </c>
      <c r="C172" s="236">
        <v>43200</v>
      </c>
    </row>
    <row r="173" spans="1:3" s="26" customFormat="1" ht="12" x14ac:dyDescent="0.3">
      <c r="A173" s="435"/>
      <c r="B173" s="20" t="s">
        <v>296</v>
      </c>
      <c r="C173" s="21">
        <v>120</v>
      </c>
    </row>
    <row r="174" spans="1:3" s="26" customFormat="1" ht="12" x14ac:dyDescent="0.3">
      <c r="A174" s="435"/>
      <c r="B174" s="20" t="s">
        <v>107</v>
      </c>
      <c r="C174" s="21">
        <v>360</v>
      </c>
    </row>
    <row r="175" spans="1:3" s="26" customFormat="1" ht="11.4" x14ac:dyDescent="0.3">
      <c r="A175" s="436"/>
      <c r="B175" s="16" t="s">
        <v>127</v>
      </c>
      <c r="C175" s="17">
        <v>43200</v>
      </c>
    </row>
    <row r="176" spans="1:3" s="26" customFormat="1" ht="11.4" x14ac:dyDescent="0.3">
      <c r="A176" s="434">
        <v>340</v>
      </c>
      <c r="B176" s="11" t="s">
        <v>115</v>
      </c>
      <c r="C176" s="12">
        <v>78200</v>
      </c>
    </row>
    <row r="177" spans="1:3" s="13" customFormat="1" ht="12" x14ac:dyDescent="0.3">
      <c r="A177" s="435"/>
      <c r="B177" s="27" t="s">
        <v>75</v>
      </c>
      <c r="C177" s="15">
        <v>23</v>
      </c>
    </row>
    <row r="178" spans="1:3" s="13" customFormat="1" ht="12" x14ac:dyDescent="0.3">
      <c r="A178" s="435"/>
      <c r="B178" s="27" t="s">
        <v>76</v>
      </c>
      <c r="C178" s="15">
        <v>20</v>
      </c>
    </row>
    <row r="179" spans="1:3" s="13" customFormat="1" ht="12" x14ac:dyDescent="0.3">
      <c r="A179" s="435"/>
      <c r="B179" s="27" t="s">
        <v>77</v>
      </c>
      <c r="C179" s="15">
        <v>170</v>
      </c>
    </row>
    <row r="180" spans="1:3" s="26" customFormat="1" ht="11.4" x14ac:dyDescent="0.3">
      <c r="A180" s="435"/>
      <c r="B180" s="11" t="s">
        <v>78</v>
      </c>
      <c r="C180" s="12"/>
    </row>
    <row r="181" spans="1:3" s="13" customFormat="1" ht="12" x14ac:dyDescent="0.3">
      <c r="A181" s="435"/>
      <c r="B181" s="27" t="s">
        <v>75</v>
      </c>
      <c r="C181" s="15"/>
    </row>
    <row r="182" spans="1:3" s="13" customFormat="1" ht="12" x14ac:dyDescent="0.3">
      <c r="A182" s="435"/>
      <c r="B182" s="27" t="s">
        <v>76</v>
      </c>
      <c r="C182" s="15"/>
    </row>
    <row r="183" spans="1:3" s="13" customFormat="1" ht="12" x14ac:dyDescent="0.3">
      <c r="A183" s="435"/>
      <c r="B183" s="27" t="s">
        <v>77</v>
      </c>
      <c r="C183" s="15"/>
    </row>
    <row r="184" spans="1:3" s="26" customFormat="1" ht="11.4" x14ac:dyDescent="0.3">
      <c r="A184" s="435"/>
      <c r="B184" s="11" t="s">
        <v>74</v>
      </c>
      <c r="C184" s="12">
        <v>64600</v>
      </c>
    </row>
    <row r="185" spans="1:3" s="13" customFormat="1" ht="12" x14ac:dyDescent="0.3">
      <c r="A185" s="435"/>
      <c r="B185" s="27" t="s">
        <v>75</v>
      </c>
      <c r="C185" s="15">
        <v>19</v>
      </c>
    </row>
    <row r="186" spans="1:3" s="13" customFormat="1" ht="12" x14ac:dyDescent="0.3">
      <c r="A186" s="435"/>
      <c r="B186" s="27" t="s">
        <v>76</v>
      </c>
      <c r="C186" s="15">
        <v>20</v>
      </c>
    </row>
    <row r="187" spans="1:3" s="13" customFormat="1" ht="12" x14ac:dyDescent="0.3">
      <c r="A187" s="435"/>
      <c r="B187" s="27" t="s">
        <v>77</v>
      </c>
      <c r="C187" s="15">
        <v>170</v>
      </c>
    </row>
    <row r="188" spans="1:3" s="26" customFormat="1" ht="11.4" x14ac:dyDescent="0.3">
      <c r="A188" s="435"/>
      <c r="B188" s="11" t="s">
        <v>71</v>
      </c>
      <c r="C188" s="12">
        <v>43890</v>
      </c>
    </row>
    <row r="189" spans="1:3" s="26" customFormat="1" ht="11.4" x14ac:dyDescent="0.3">
      <c r="A189" s="435"/>
      <c r="B189" s="25" t="s">
        <v>39</v>
      </c>
      <c r="C189" s="24">
        <v>68100</v>
      </c>
    </row>
    <row r="190" spans="1:3" s="26" customFormat="1" ht="5.25" customHeight="1" x14ac:dyDescent="0.3">
      <c r="A190" s="435"/>
      <c r="B190" s="25"/>
      <c r="C190" s="24"/>
    </row>
    <row r="191" spans="1:3" s="26" customFormat="1" ht="5.25" customHeight="1" x14ac:dyDescent="0.3">
      <c r="A191" s="435"/>
      <c r="B191" s="25"/>
      <c r="C191" s="24"/>
    </row>
    <row r="192" spans="1:3" s="26" customFormat="1" ht="5.25" customHeight="1" x14ac:dyDescent="0.3">
      <c r="A192" s="435"/>
      <c r="B192" s="25"/>
      <c r="C192" s="24"/>
    </row>
    <row r="193" spans="1:3" s="26" customFormat="1" ht="11.4" x14ac:dyDescent="0.3">
      <c r="A193" s="435"/>
      <c r="B193" s="25"/>
      <c r="C193" s="24"/>
    </row>
    <row r="194" spans="1:3" s="26" customFormat="1" ht="11.4" x14ac:dyDescent="0.3">
      <c r="A194" s="435"/>
      <c r="B194" s="25"/>
      <c r="C194" s="24"/>
    </row>
    <row r="195" spans="1:3" s="26" customFormat="1" ht="11.4" x14ac:dyDescent="0.3">
      <c r="A195" s="435"/>
      <c r="B195" s="25"/>
      <c r="C195" s="24"/>
    </row>
    <row r="196" spans="1:3" s="26" customFormat="1" ht="11.4" x14ac:dyDescent="0.3">
      <c r="A196" s="435"/>
      <c r="B196" s="11" t="s">
        <v>22</v>
      </c>
      <c r="C196" s="12">
        <v>63470.26</v>
      </c>
    </row>
    <row r="197" spans="1:3" s="26" customFormat="1" ht="11.4" x14ac:dyDescent="0.3">
      <c r="A197" s="435"/>
      <c r="B197" s="25" t="s">
        <v>272</v>
      </c>
      <c r="C197" s="24">
        <v>11000</v>
      </c>
    </row>
    <row r="198" spans="1:3" s="26" customFormat="1" ht="11.4" x14ac:dyDescent="0.3">
      <c r="A198" s="435"/>
      <c r="B198" s="25" t="s">
        <v>297</v>
      </c>
      <c r="C198" s="24">
        <v>6000</v>
      </c>
    </row>
    <row r="199" spans="1:3" s="26" customFormat="1" ht="11.4" x14ac:dyDescent="0.3">
      <c r="A199" s="435"/>
      <c r="B199" s="25"/>
      <c r="C199" s="24"/>
    </row>
    <row r="200" spans="1:3" s="26" customFormat="1" ht="11.4" x14ac:dyDescent="0.3">
      <c r="A200" s="435"/>
      <c r="B200" s="25"/>
      <c r="C200" s="24"/>
    </row>
    <row r="201" spans="1:3" s="26" customFormat="1" ht="11.4" x14ac:dyDescent="0.3">
      <c r="A201" s="435"/>
      <c r="B201" s="25"/>
      <c r="C201" s="24"/>
    </row>
    <row r="202" spans="1:3" s="26" customFormat="1" ht="11.4" x14ac:dyDescent="0.3">
      <c r="A202" s="435"/>
      <c r="B202" s="25"/>
      <c r="C202" s="24"/>
    </row>
    <row r="203" spans="1:3" s="26" customFormat="1" ht="11.4" x14ac:dyDescent="0.3">
      <c r="A203" s="435"/>
      <c r="B203" s="25" t="s">
        <v>72</v>
      </c>
      <c r="C203" s="24">
        <v>16000</v>
      </c>
    </row>
    <row r="204" spans="1:3" s="26" customFormat="1" ht="11.4" x14ac:dyDescent="0.3">
      <c r="A204" s="435"/>
      <c r="B204" s="25"/>
      <c r="C204" s="24"/>
    </row>
    <row r="205" spans="1:3" s="26" customFormat="1" ht="11.4" x14ac:dyDescent="0.3">
      <c r="A205" s="435"/>
      <c r="B205" s="25"/>
      <c r="C205" s="24"/>
    </row>
    <row r="206" spans="1:3" s="26" customFormat="1" ht="11.4" x14ac:dyDescent="0.3">
      <c r="A206" s="435"/>
      <c r="B206" s="25"/>
      <c r="C206" s="24"/>
    </row>
    <row r="207" spans="1:3" s="26" customFormat="1" ht="11.4" x14ac:dyDescent="0.3">
      <c r="A207" s="435"/>
      <c r="B207" s="25"/>
      <c r="C207" s="24"/>
    </row>
    <row r="208" spans="1:3" s="26" customFormat="1" ht="11.4" x14ac:dyDescent="0.3">
      <c r="A208" s="435"/>
      <c r="B208" s="25"/>
      <c r="C208" s="24"/>
    </row>
    <row r="209" spans="1:4" s="26" customFormat="1" ht="5.25" customHeight="1" x14ac:dyDescent="0.3">
      <c r="A209" s="435"/>
      <c r="B209" s="25"/>
      <c r="C209" s="24"/>
    </row>
    <row r="210" spans="1:4" s="26" customFormat="1" ht="11.4" x14ac:dyDescent="0.3">
      <c r="A210" s="435"/>
      <c r="B210" s="11" t="s">
        <v>53</v>
      </c>
      <c r="C210" s="12">
        <v>600</v>
      </c>
    </row>
    <row r="211" spans="1:4" s="26" customFormat="1" ht="11.4" x14ac:dyDescent="0.3">
      <c r="A211" s="435"/>
      <c r="B211" s="25" t="s">
        <v>73</v>
      </c>
      <c r="C211" s="24"/>
    </row>
    <row r="212" spans="1:4" s="26" customFormat="1" ht="11.4" x14ac:dyDescent="0.3">
      <c r="A212" s="435"/>
      <c r="B212" s="11" t="s">
        <v>38</v>
      </c>
      <c r="C212" s="12">
        <v>216320</v>
      </c>
    </row>
    <row r="213" spans="1:4" s="13" customFormat="1" ht="12" x14ac:dyDescent="0.3">
      <c r="A213" s="435"/>
      <c r="B213" s="27" t="s">
        <v>117</v>
      </c>
      <c r="C213" s="15">
        <v>20000</v>
      </c>
    </row>
    <row r="214" spans="1:4" s="13" customFormat="1" ht="12" x14ac:dyDescent="0.3">
      <c r="A214" s="435"/>
      <c r="B214" s="27" t="s">
        <v>118</v>
      </c>
      <c r="C214" s="15">
        <v>32</v>
      </c>
    </row>
    <row r="215" spans="1:4" s="13" customFormat="1" ht="12" x14ac:dyDescent="0.3">
      <c r="A215" s="435"/>
      <c r="B215" s="27" t="s">
        <v>85</v>
      </c>
      <c r="C215" s="15">
        <v>6400</v>
      </c>
    </row>
    <row r="216" spans="1:4" s="13" customFormat="1" ht="12" x14ac:dyDescent="0.3">
      <c r="A216" s="435"/>
      <c r="B216" s="27" t="s">
        <v>116</v>
      </c>
      <c r="C216" s="15">
        <v>33.799999999999997</v>
      </c>
    </row>
    <row r="217" spans="1:4" s="26" customFormat="1" ht="11.4" x14ac:dyDescent="0.3">
      <c r="A217" s="435"/>
      <c r="B217" s="11" t="s">
        <v>23</v>
      </c>
      <c r="C217" s="12"/>
    </row>
    <row r="218" spans="1:4" s="13" customFormat="1" ht="12" x14ac:dyDescent="0.3">
      <c r="A218" s="435"/>
      <c r="B218" s="27" t="s">
        <v>67</v>
      </c>
      <c r="C218" s="15"/>
    </row>
    <row r="219" spans="1:4" s="13" customFormat="1" ht="12" x14ac:dyDescent="0.3">
      <c r="A219" s="435"/>
      <c r="B219" s="27" t="s">
        <v>119</v>
      </c>
      <c r="C219" s="15"/>
    </row>
    <row r="220" spans="1:4" s="26" customFormat="1" ht="11.4" x14ac:dyDescent="0.3">
      <c r="A220" s="435"/>
      <c r="B220" s="11" t="s">
        <v>24</v>
      </c>
      <c r="C220" s="29"/>
    </row>
    <row r="221" spans="1:4" s="13" customFormat="1" ht="12" x14ac:dyDescent="0.3">
      <c r="A221" s="435"/>
      <c r="B221" s="27" t="s">
        <v>67</v>
      </c>
      <c r="C221" s="15"/>
    </row>
    <row r="222" spans="1:4" s="13" customFormat="1" ht="12" x14ac:dyDescent="0.3">
      <c r="A222" s="435"/>
      <c r="B222" s="27" t="s">
        <v>120</v>
      </c>
      <c r="C222" s="15"/>
    </row>
    <row r="223" spans="1:4" s="13" customFormat="1" ht="18.75" customHeight="1" x14ac:dyDescent="0.3">
      <c r="A223" s="436"/>
      <c r="B223" s="16" t="s">
        <v>86</v>
      </c>
      <c r="C223" s="17">
        <f>C176+C184+C188+C189+C196+C203+C210+C212+C197+C198</f>
        <v>568180.26</v>
      </c>
      <c r="D223" s="30"/>
    </row>
    <row r="224" spans="1:4" s="31" customFormat="1" ht="26.25" customHeight="1" x14ac:dyDescent="0.3">
      <c r="A224" s="438" t="s">
        <v>121</v>
      </c>
      <c r="B224" s="439"/>
      <c r="C224" s="34">
        <f>C12+C13+C23+C27+C46+C103+C168+C171+C175+C223</f>
        <v>5532544</v>
      </c>
    </row>
    <row r="225" spans="1:3" s="31" customFormat="1" ht="14.4" x14ac:dyDescent="0.3">
      <c r="A225" s="438" t="s">
        <v>122</v>
      </c>
      <c r="B225" s="439"/>
      <c r="C225" s="34">
        <v>5207437</v>
      </c>
    </row>
    <row r="226" spans="1:3" s="31" customFormat="1" ht="14.4" x14ac:dyDescent="0.3">
      <c r="A226" s="438" t="s">
        <v>123</v>
      </c>
      <c r="B226" s="439"/>
      <c r="C226" s="34">
        <v>5284751</v>
      </c>
    </row>
    <row r="227" spans="1:3" s="31" customFormat="1" x14ac:dyDescent="0.3">
      <c r="A227" s="5"/>
      <c r="B227" s="33"/>
      <c r="C227" s="32"/>
    </row>
    <row r="228" spans="1:3" s="31" customFormat="1" x14ac:dyDescent="0.3">
      <c r="A228" s="5"/>
      <c r="B228" s="31" t="s">
        <v>298</v>
      </c>
      <c r="C228" s="32" t="s">
        <v>299</v>
      </c>
    </row>
    <row r="229" spans="1:3" s="31" customFormat="1" x14ac:dyDescent="0.3">
      <c r="A229" s="5"/>
      <c r="B229" s="33"/>
      <c r="C229" s="32"/>
    </row>
    <row r="230" spans="1:3" s="31" customFormat="1" x14ac:dyDescent="0.3">
      <c r="A230" s="5"/>
      <c r="B230" s="31" t="s">
        <v>130</v>
      </c>
      <c r="C230" s="32" t="s">
        <v>300</v>
      </c>
    </row>
    <row r="231" spans="1:3" s="31" customFormat="1" x14ac:dyDescent="0.3">
      <c r="A231" s="5"/>
      <c r="B231" s="33"/>
      <c r="C231" s="32"/>
    </row>
    <row r="232" spans="1:3" s="31" customFormat="1" x14ac:dyDescent="0.3">
      <c r="A232" s="5"/>
      <c r="C232" s="32"/>
    </row>
    <row r="233" spans="1:3" s="31" customFormat="1" x14ac:dyDescent="0.3">
      <c r="A233" s="5"/>
      <c r="C233" s="32"/>
    </row>
    <row r="234" spans="1:3" s="31" customFormat="1" x14ac:dyDescent="0.3">
      <c r="A234" s="5"/>
      <c r="C234" s="32"/>
    </row>
    <row r="235" spans="1:3" s="31" customFormat="1" x14ac:dyDescent="0.3">
      <c r="A235" s="5"/>
      <c r="C235" s="32"/>
    </row>
    <row r="236" spans="1:3" s="31" customFormat="1" x14ac:dyDescent="0.3">
      <c r="A236" s="5"/>
      <c r="C236" s="32"/>
    </row>
    <row r="237" spans="1:3" s="31" customFormat="1" x14ac:dyDescent="0.3">
      <c r="A237" s="5"/>
      <c r="C237" s="32"/>
    </row>
    <row r="238" spans="1:3" s="31" customFormat="1" x14ac:dyDescent="0.3">
      <c r="A238" s="5"/>
      <c r="C238" s="32"/>
    </row>
    <row r="239" spans="1:3" s="31" customFormat="1" x14ac:dyDescent="0.3">
      <c r="A239" s="5"/>
      <c r="C239" s="32"/>
    </row>
    <row r="240" spans="1:3" s="31" customFormat="1" x14ac:dyDescent="0.3">
      <c r="A240" s="5"/>
      <c r="C240" s="32"/>
    </row>
    <row r="241" spans="1:3" s="31" customFormat="1" x14ac:dyDescent="0.3">
      <c r="A241" s="5"/>
      <c r="C241" s="32"/>
    </row>
    <row r="242" spans="1:3" s="31" customFormat="1" x14ac:dyDescent="0.3">
      <c r="A242" s="5"/>
      <c r="C242" s="32"/>
    </row>
    <row r="243" spans="1:3" s="31" customFormat="1" x14ac:dyDescent="0.3">
      <c r="A243" s="5"/>
      <c r="C243" s="32"/>
    </row>
    <row r="244" spans="1:3" s="31" customFormat="1" x14ac:dyDescent="0.3">
      <c r="A244" s="5"/>
      <c r="C244" s="32"/>
    </row>
    <row r="245" spans="1:3" s="31" customFormat="1" x14ac:dyDescent="0.3">
      <c r="A245" s="5"/>
      <c r="C245" s="32"/>
    </row>
    <row r="246" spans="1:3" s="31" customFormat="1" x14ac:dyDescent="0.3">
      <c r="A246" s="5"/>
      <c r="C246" s="32"/>
    </row>
    <row r="247" spans="1:3" s="31" customFormat="1" x14ac:dyDescent="0.3">
      <c r="A247" s="5"/>
      <c r="C247" s="32"/>
    </row>
    <row r="248" spans="1:3" s="31" customFormat="1" x14ac:dyDescent="0.3">
      <c r="A248" s="5"/>
      <c r="C248" s="32"/>
    </row>
    <row r="249" spans="1:3" s="31" customFormat="1" x14ac:dyDescent="0.3">
      <c r="A249" s="5"/>
      <c r="C249" s="32"/>
    </row>
    <row r="250" spans="1:3" s="31" customFormat="1" x14ac:dyDescent="0.3">
      <c r="A250" s="5"/>
      <c r="C250" s="32"/>
    </row>
    <row r="251" spans="1:3" s="31" customFormat="1" x14ac:dyDescent="0.3">
      <c r="A251" s="5"/>
      <c r="C251" s="32"/>
    </row>
    <row r="252" spans="1:3" s="31" customFormat="1" x14ac:dyDescent="0.3">
      <c r="A252" s="5"/>
      <c r="C252" s="32"/>
    </row>
    <row r="253" spans="1:3" s="31" customFormat="1" x14ac:dyDescent="0.3">
      <c r="A253" s="5"/>
      <c r="C253" s="32"/>
    </row>
    <row r="254" spans="1:3" s="31" customFormat="1" x14ac:dyDescent="0.3">
      <c r="A254" s="5"/>
      <c r="C254" s="32"/>
    </row>
    <row r="255" spans="1:3" s="31" customFormat="1" x14ac:dyDescent="0.3">
      <c r="A255" s="5"/>
      <c r="C255" s="32"/>
    </row>
    <row r="256" spans="1:3" s="31" customFormat="1" x14ac:dyDescent="0.3">
      <c r="A256" s="5"/>
      <c r="C256" s="32"/>
    </row>
    <row r="257" spans="1:3" s="31" customFormat="1" x14ac:dyDescent="0.3">
      <c r="A257" s="5"/>
      <c r="C257" s="32"/>
    </row>
    <row r="258" spans="1:3" s="31" customFormat="1" x14ac:dyDescent="0.3">
      <c r="A258" s="5"/>
      <c r="C258" s="32"/>
    </row>
    <row r="259" spans="1:3" s="31" customFormat="1" x14ac:dyDescent="0.3">
      <c r="A259" s="5"/>
      <c r="C259" s="32"/>
    </row>
    <row r="260" spans="1:3" s="31" customFormat="1" x14ac:dyDescent="0.3">
      <c r="A260" s="5"/>
      <c r="C260" s="32"/>
    </row>
    <row r="261" spans="1:3" s="31" customFormat="1" x14ac:dyDescent="0.3">
      <c r="A261" s="5"/>
      <c r="C261" s="32"/>
    </row>
    <row r="262" spans="1:3" s="31" customFormat="1" x14ac:dyDescent="0.3">
      <c r="A262" s="5"/>
      <c r="C262" s="32"/>
    </row>
    <row r="263" spans="1:3" s="31" customFormat="1" x14ac:dyDescent="0.3">
      <c r="A263" s="5"/>
      <c r="C263" s="32"/>
    </row>
    <row r="264" spans="1:3" s="31" customFormat="1" x14ac:dyDescent="0.3">
      <c r="A264" s="5"/>
      <c r="C264" s="32"/>
    </row>
    <row r="265" spans="1:3" s="31" customFormat="1" x14ac:dyDescent="0.3">
      <c r="A265" s="5"/>
      <c r="C265" s="32"/>
    </row>
    <row r="266" spans="1:3" s="31" customFormat="1" x14ac:dyDescent="0.3">
      <c r="A266" s="5"/>
      <c r="C266" s="32"/>
    </row>
    <row r="267" spans="1:3" s="31" customFormat="1" x14ac:dyDescent="0.3">
      <c r="A267" s="5"/>
      <c r="C267" s="32"/>
    </row>
    <row r="268" spans="1:3" s="31" customFormat="1" x14ac:dyDescent="0.3">
      <c r="A268" s="5"/>
      <c r="C268" s="32"/>
    </row>
    <row r="269" spans="1:3" s="31" customFormat="1" x14ac:dyDescent="0.3">
      <c r="A269" s="5"/>
      <c r="C269" s="32"/>
    </row>
    <row r="270" spans="1:3" s="31" customFormat="1" x14ac:dyDescent="0.3">
      <c r="A270" s="5"/>
      <c r="C270" s="32"/>
    </row>
    <row r="271" spans="1:3" s="31" customFormat="1" x14ac:dyDescent="0.3">
      <c r="A271" s="5"/>
      <c r="C271" s="32"/>
    </row>
    <row r="272" spans="1:3" s="31" customFormat="1" x14ac:dyDescent="0.3">
      <c r="A272" s="5"/>
      <c r="C272" s="32"/>
    </row>
    <row r="273" spans="1:3" s="31" customFormat="1" x14ac:dyDescent="0.3">
      <c r="A273" s="5"/>
      <c r="C273" s="32"/>
    </row>
    <row r="274" spans="1:3" s="31" customFormat="1" x14ac:dyDescent="0.3">
      <c r="A274" s="5"/>
      <c r="C274" s="32"/>
    </row>
    <row r="275" spans="1:3" s="31" customFormat="1" x14ac:dyDescent="0.3">
      <c r="A275" s="5"/>
      <c r="C275" s="32"/>
    </row>
    <row r="276" spans="1:3" s="31" customFormat="1" x14ac:dyDescent="0.3">
      <c r="A276" s="5"/>
      <c r="C276" s="32"/>
    </row>
    <row r="277" spans="1:3" s="31" customFormat="1" x14ac:dyDescent="0.3">
      <c r="A277" s="5"/>
      <c r="C277" s="32"/>
    </row>
    <row r="278" spans="1:3" s="31" customFormat="1" x14ac:dyDescent="0.3">
      <c r="A278" s="5"/>
      <c r="C278" s="32"/>
    </row>
    <row r="279" spans="1:3" s="31" customFormat="1" x14ac:dyDescent="0.3">
      <c r="A279" s="5"/>
      <c r="C279" s="32"/>
    </row>
    <row r="280" spans="1:3" s="31" customFormat="1" x14ac:dyDescent="0.3">
      <c r="A280" s="5"/>
      <c r="C280" s="32"/>
    </row>
    <row r="281" spans="1:3" s="31" customFormat="1" x14ac:dyDescent="0.3">
      <c r="A281" s="5"/>
      <c r="C281" s="32"/>
    </row>
    <row r="282" spans="1:3" s="31" customFormat="1" x14ac:dyDescent="0.3">
      <c r="A282" s="5"/>
      <c r="C282" s="32"/>
    </row>
    <row r="283" spans="1:3" s="31" customFormat="1" x14ac:dyDescent="0.3">
      <c r="A283" s="5"/>
      <c r="C283" s="32"/>
    </row>
    <row r="284" spans="1:3" x14ac:dyDescent="0.25">
      <c r="C284" s="8"/>
    </row>
    <row r="285" spans="1:3" x14ac:dyDescent="0.25">
      <c r="C285" s="8"/>
    </row>
    <row r="286" spans="1:3" x14ac:dyDescent="0.25">
      <c r="C286" s="8"/>
    </row>
    <row r="287" spans="1:3" x14ac:dyDescent="0.25">
      <c r="C287" s="8"/>
    </row>
    <row r="288" spans="1:3" x14ac:dyDescent="0.25">
      <c r="C288" s="8"/>
    </row>
    <row r="289" spans="3:3" x14ac:dyDescent="0.25">
      <c r="C289" s="8"/>
    </row>
    <row r="290" spans="3:3" x14ac:dyDescent="0.25">
      <c r="C290" s="8"/>
    </row>
    <row r="291" spans="3:3" x14ac:dyDescent="0.25">
      <c r="C291" s="8"/>
    </row>
  </sheetData>
  <mergeCells count="15">
    <mergeCell ref="A172:A175"/>
    <mergeCell ref="A176:A223"/>
    <mergeCell ref="A224:B224"/>
    <mergeCell ref="A225:B225"/>
    <mergeCell ref="A226:B226"/>
    <mergeCell ref="A104:A168"/>
    <mergeCell ref="A3:C3"/>
    <mergeCell ref="B4:C4"/>
    <mergeCell ref="A6:A12"/>
    <mergeCell ref="A169:A171"/>
    <mergeCell ref="B1:D1"/>
    <mergeCell ref="A14:A23"/>
    <mergeCell ref="A24:A27"/>
    <mergeCell ref="A28:A46"/>
    <mergeCell ref="A47:A103"/>
  </mergeCells>
  <pageMargins left="0.7" right="0.7" top="0.75" bottom="0.75" header="0.3" footer="0.3"/>
  <pageSetup paperSize="9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D315"/>
  <sheetViews>
    <sheetView view="pageBreakPreview" topLeftCell="A219" zoomScale="90" zoomScaleSheetLayoutView="90" workbookViewId="0">
      <selection activeCell="C242" sqref="C242:C243"/>
    </sheetView>
  </sheetViews>
  <sheetFormatPr defaultColWidth="9.109375" defaultRowHeight="13.8" x14ac:dyDescent="0.25"/>
  <cols>
    <col min="1" max="1" width="5" style="5" customWidth="1"/>
    <col min="2" max="2" width="30.109375" style="1" customWidth="1"/>
    <col min="3" max="3" width="41" style="3" customWidth="1"/>
    <col min="4" max="4" width="14.88671875" style="1" customWidth="1"/>
    <col min="5" max="16384" width="9.109375" style="1"/>
  </cols>
  <sheetData>
    <row r="1" spans="1:4" ht="55.5" customHeight="1" x14ac:dyDescent="0.25">
      <c r="B1" s="470" t="s">
        <v>124</v>
      </c>
      <c r="C1" s="470"/>
      <c r="D1" s="470"/>
    </row>
    <row r="2" spans="1:4" x14ac:dyDescent="0.25">
      <c r="C2" s="4" t="s">
        <v>95</v>
      </c>
    </row>
    <row r="3" spans="1:4" ht="17.25" customHeight="1" x14ac:dyDescent="0.25">
      <c r="A3" s="437" t="s">
        <v>97</v>
      </c>
      <c r="B3" s="437"/>
      <c r="C3" s="437"/>
    </row>
    <row r="4" spans="1:4" ht="17.25" customHeight="1" x14ac:dyDescent="0.25">
      <c r="A4" s="7"/>
      <c r="B4" s="441" t="s">
        <v>301</v>
      </c>
      <c r="C4" s="441"/>
    </row>
    <row r="5" spans="1:4" s="2" customFormat="1" ht="27" customHeight="1" x14ac:dyDescent="0.25">
      <c r="A5" s="177"/>
      <c r="B5" s="6"/>
      <c r="C5" s="177" t="s">
        <v>99</v>
      </c>
    </row>
    <row r="6" spans="1:4" s="13" customFormat="1" ht="12" x14ac:dyDescent="0.3">
      <c r="A6" s="440">
        <v>211</v>
      </c>
      <c r="B6" s="11" t="s">
        <v>100</v>
      </c>
      <c r="C6" s="12"/>
    </row>
    <row r="7" spans="1:4" s="13" customFormat="1" ht="12" x14ac:dyDescent="0.3">
      <c r="A7" s="440"/>
      <c r="B7" s="14" t="s">
        <v>55</v>
      </c>
      <c r="C7" s="15"/>
    </row>
    <row r="8" spans="1:4" s="13" customFormat="1" ht="12" x14ac:dyDescent="0.3">
      <c r="A8" s="440"/>
      <c r="B8" s="14" t="s">
        <v>56</v>
      </c>
      <c r="C8" s="15"/>
    </row>
    <row r="9" spans="1:4" s="13" customFormat="1" ht="12" x14ac:dyDescent="0.3">
      <c r="A9" s="440"/>
      <c r="B9" s="11" t="s">
        <v>57</v>
      </c>
      <c r="C9" s="12"/>
    </row>
    <row r="10" spans="1:4" s="13" customFormat="1" ht="12" x14ac:dyDescent="0.3">
      <c r="A10" s="440"/>
      <c r="B10" s="14" t="s">
        <v>55</v>
      </c>
      <c r="C10" s="15">
        <v>10.5</v>
      </c>
    </row>
    <row r="11" spans="1:4" s="13" customFormat="1" ht="12" x14ac:dyDescent="0.3">
      <c r="A11" s="440"/>
      <c r="B11" s="14" t="s">
        <v>56</v>
      </c>
      <c r="C11" s="15">
        <v>81192.160000000003</v>
      </c>
    </row>
    <row r="12" spans="1:4" s="13" customFormat="1" ht="17.25" customHeight="1" x14ac:dyDescent="0.3">
      <c r="A12" s="440"/>
      <c r="B12" s="16" t="s">
        <v>94</v>
      </c>
      <c r="C12" s="17">
        <v>974305.92</v>
      </c>
    </row>
    <row r="13" spans="1:4" s="13" customFormat="1" ht="16.5" customHeight="1" x14ac:dyDescent="0.3">
      <c r="A13" s="10">
        <v>213</v>
      </c>
      <c r="B13" s="16" t="s">
        <v>93</v>
      </c>
      <c r="C13" s="17">
        <v>294240.39</v>
      </c>
    </row>
    <row r="14" spans="1:4" s="13" customFormat="1" ht="12" x14ac:dyDescent="0.3">
      <c r="A14" s="440">
        <v>221</v>
      </c>
      <c r="B14" s="18" t="s">
        <v>58</v>
      </c>
      <c r="C14" s="12">
        <v>9432</v>
      </c>
    </row>
    <row r="15" spans="1:4" s="13" customFormat="1" ht="12" x14ac:dyDescent="0.3">
      <c r="A15" s="440"/>
      <c r="B15" s="14" t="s">
        <v>59</v>
      </c>
      <c r="C15" s="15">
        <v>1</v>
      </c>
    </row>
    <row r="16" spans="1:4" s="13" customFormat="1" ht="12" x14ac:dyDescent="0.3">
      <c r="A16" s="440"/>
      <c r="B16" s="14" t="s">
        <v>61</v>
      </c>
      <c r="C16" s="15">
        <v>786</v>
      </c>
    </row>
    <row r="17" spans="1:3" s="13" customFormat="1" ht="12" x14ac:dyDescent="0.3">
      <c r="A17" s="440"/>
      <c r="B17" s="18" t="s">
        <v>0</v>
      </c>
      <c r="C17" s="12">
        <v>6288</v>
      </c>
    </row>
    <row r="18" spans="1:3" s="13" customFormat="1" ht="12" x14ac:dyDescent="0.3">
      <c r="A18" s="440"/>
      <c r="B18" s="14" t="s">
        <v>79</v>
      </c>
      <c r="C18" s="15">
        <v>1</v>
      </c>
    </row>
    <row r="19" spans="1:3" s="13" customFormat="1" ht="12" x14ac:dyDescent="0.3">
      <c r="A19" s="440"/>
      <c r="B19" s="14" t="s">
        <v>60</v>
      </c>
      <c r="C19" s="15">
        <v>524</v>
      </c>
    </row>
    <row r="20" spans="1:3" s="13" customFormat="1" ht="12" x14ac:dyDescent="0.3">
      <c r="A20" s="440"/>
      <c r="B20" s="18" t="s">
        <v>1</v>
      </c>
      <c r="C20" s="12">
        <f>C21*C22</f>
        <v>1415</v>
      </c>
    </row>
    <row r="21" spans="1:3" s="13" customFormat="1" ht="12" x14ac:dyDescent="0.3">
      <c r="A21" s="440"/>
      <c r="B21" s="14" t="s">
        <v>80</v>
      </c>
      <c r="C21" s="15">
        <v>50</v>
      </c>
    </row>
    <row r="22" spans="1:3" s="13" customFormat="1" ht="12" x14ac:dyDescent="0.3">
      <c r="A22" s="440"/>
      <c r="B22" s="14" t="s">
        <v>107</v>
      </c>
      <c r="C22" s="15">
        <v>28.3</v>
      </c>
    </row>
    <row r="23" spans="1:3" s="13" customFormat="1" ht="12" x14ac:dyDescent="0.3">
      <c r="A23" s="440"/>
      <c r="B23" s="16" t="s">
        <v>92</v>
      </c>
      <c r="C23" s="17">
        <f>C20+C17+C14</f>
        <v>17135</v>
      </c>
    </row>
    <row r="24" spans="1:3" s="13" customFormat="1" ht="12" x14ac:dyDescent="0.3">
      <c r="A24" s="440">
        <v>222</v>
      </c>
      <c r="B24" s="18" t="s">
        <v>62</v>
      </c>
      <c r="C24" s="19">
        <f>C25*C26</f>
        <v>2700</v>
      </c>
    </row>
    <row r="25" spans="1:3" s="13" customFormat="1" ht="12" x14ac:dyDescent="0.3">
      <c r="A25" s="440"/>
      <c r="B25" s="14" t="s">
        <v>81</v>
      </c>
      <c r="C25" s="15">
        <v>20</v>
      </c>
    </row>
    <row r="26" spans="1:3" s="13" customFormat="1" ht="12" x14ac:dyDescent="0.3">
      <c r="A26" s="440"/>
      <c r="B26" s="14" t="s">
        <v>106</v>
      </c>
      <c r="C26" s="15">
        <v>135</v>
      </c>
    </row>
    <row r="27" spans="1:3" s="13" customFormat="1" ht="12" x14ac:dyDescent="0.3">
      <c r="A27" s="440"/>
      <c r="B27" s="16" t="s">
        <v>91</v>
      </c>
      <c r="C27" s="17">
        <f>C24</f>
        <v>2700</v>
      </c>
    </row>
    <row r="28" spans="1:3" s="13" customFormat="1" ht="12" x14ac:dyDescent="0.3">
      <c r="A28" s="440">
        <v>223</v>
      </c>
      <c r="B28" s="11" t="s">
        <v>2</v>
      </c>
      <c r="C28" s="12">
        <f>C29*C30</f>
        <v>71500</v>
      </c>
    </row>
    <row r="29" spans="1:3" s="13" customFormat="1" ht="12" x14ac:dyDescent="0.3">
      <c r="A29" s="440"/>
      <c r="B29" s="14" t="s">
        <v>82</v>
      </c>
      <c r="C29" s="15">
        <v>11000</v>
      </c>
    </row>
    <row r="30" spans="1:3" s="13" customFormat="1" ht="12" x14ac:dyDescent="0.3">
      <c r="A30" s="440"/>
      <c r="B30" s="14" t="s">
        <v>108</v>
      </c>
      <c r="C30" s="15">
        <v>6.5</v>
      </c>
    </row>
    <row r="31" spans="1:3" s="13" customFormat="1" ht="12" x14ac:dyDescent="0.3">
      <c r="A31" s="440"/>
      <c r="B31" s="11" t="s">
        <v>3</v>
      </c>
      <c r="C31" s="12"/>
    </row>
    <row r="32" spans="1:3" s="13" customFormat="1" ht="12" x14ac:dyDescent="0.3">
      <c r="A32" s="440"/>
      <c r="B32" s="14" t="s">
        <v>83</v>
      </c>
      <c r="C32" s="15"/>
    </row>
    <row r="33" spans="1:3" s="13" customFormat="1" ht="12" x14ac:dyDescent="0.3">
      <c r="A33" s="440"/>
      <c r="B33" s="14" t="s">
        <v>63</v>
      </c>
      <c r="C33" s="15"/>
    </row>
    <row r="34" spans="1:3" s="13" customFormat="1" ht="12" x14ac:dyDescent="0.3">
      <c r="A34" s="440"/>
      <c r="B34" s="11" t="s">
        <v>4</v>
      </c>
      <c r="C34" s="12">
        <f>C35*C36</f>
        <v>30095.040000000005</v>
      </c>
    </row>
    <row r="35" spans="1:3" s="13" customFormat="1" ht="12" x14ac:dyDescent="0.3">
      <c r="A35" s="440"/>
      <c r="B35" s="14" t="s">
        <v>84</v>
      </c>
      <c r="C35" s="15">
        <v>441.6</v>
      </c>
    </row>
    <row r="36" spans="1:3" s="13" customFormat="1" ht="12" x14ac:dyDescent="0.3">
      <c r="A36" s="440"/>
      <c r="B36" s="14" t="s">
        <v>108</v>
      </c>
      <c r="C36" s="15">
        <v>68.150000000000006</v>
      </c>
    </row>
    <row r="37" spans="1:3" s="13" customFormat="1" ht="12" x14ac:dyDescent="0.3">
      <c r="A37" s="440"/>
      <c r="B37" s="11" t="s">
        <v>29</v>
      </c>
      <c r="C37" s="12"/>
    </row>
    <row r="38" spans="1:3" s="13" customFormat="1" ht="12" x14ac:dyDescent="0.3">
      <c r="A38" s="440"/>
      <c r="B38" s="14" t="s">
        <v>84</v>
      </c>
      <c r="C38" s="15"/>
    </row>
    <row r="39" spans="1:3" s="13" customFormat="1" ht="12" x14ac:dyDescent="0.3">
      <c r="A39" s="440"/>
      <c r="B39" s="14" t="s">
        <v>108</v>
      </c>
      <c r="C39" s="15"/>
    </row>
    <row r="40" spans="1:3" s="13" customFormat="1" ht="12" x14ac:dyDescent="0.3">
      <c r="A40" s="440"/>
      <c r="B40" s="11" t="s">
        <v>5</v>
      </c>
      <c r="C40" s="12"/>
    </row>
    <row r="41" spans="1:3" s="13" customFormat="1" ht="12" x14ac:dyDescent="0.3">
      <c r="A41" s="440"/>
      <c r="B41" s="14" t="s">
        <v>84</v>
      </c>
      <c r="C41" s="15"/>
    </row>
    <row r="42" spans="1:3" s="13" customFormat="1" ht="12" x14ac:dyDescent="0.3">
      <c r="A42" s="440"/>
      <c r="B42" s="14" t="s">
        <v>108</v>
      </c>
      <c r="C42" s="15"/>
    </row>
    <row r="43" spans="1:3" s="13" customFormat="1" ht="12" x14ac:dyDescent="0.3">
      <c r="A43" s="440"/>
      <c r="B43" s="11" t="s">
        <v>25</v>
      </c>
      <c r="C43" s="12">
        <f>C44*C45</f>
        <v>10500</v>
      </c>
    </row>
    <row r="44" spans="1:3" s="13" customFormat="1" ht="12" x14ac:dyDescent="0.3">
      <c r="A44" s="440"/>
      <c r="B44" s="14" t="s">
        <v>302</v>
      </c>
      <c r="C44" s="15">
        <v>10</v>
      </c>
    </row>
    <row r="45" spans="1:3" s="13" customFormat="1" ht="12" x14ac:dyDescent="0.3">
      <c r="A45" s="440"/>
      <c r="B45" s="14" t="s">
        <v>108</v>
      </c>
      <c r="C45" s="15">
        <v>1050</v>
      </c>
    </row>
    <row r="46" spans="1:3" s="13" customFormat="1" ht="12" x14ac:dyDescent="0.3">
      <c r="A46" s="440"/>
      <c r="B46" s="16" t="s">
        <v>90</v>
      </c>
      <c r="C46" s="17">
        <f>C43+C34+C28</f>
        <v>112095.04000000001</v>
      </c>
    </row>
    <row r="47" spans="1:3" s="13" customFormat="1" ht="12" x14ac:dyDescent="0.3">
      <c r="A47" s="440"/>
      <c r="B47" s="11" t="s">
        <v>6</v>
      </c>
      <c r="C47" s="12">
        <f>C48*C49</f>
        <v>4628.7</v>
      </c>
    </row>
    <row r="48" spans="1:3" s="13" customFormat="1" ht="12" x14ac:dyDescent="0.3">
      <c r="A48" s="440"/>
      <c r="B48" s="14" t="s">
        <v>84</v>
      </c>
      <c r="C48" s="15">
        <v>18</v>
      </c>
    </row>
    <row r="49" spans="1:4" s="13" customFormat="1" ht="12" x14ac:dyDescent="0.3">
      <c r="A49" s="440"/>
      <c r="B49" s="14" t="s">
        <v>108</v>
      </c>
      <c r="C49" s="15">
        <v>257.14999999999998</v>
      </c>
      <c r="D49" s="237"/>
    </row>
    <row r="50" spans="1:4" s="13" customFormat="1" ht="12" x14ac:dyDescent="0.3">
      <c r="A50" s="440"/>
      <c r="B50" s="11" t="s">
        <v>7</v>
      </c>
      <c r="C50" s="12">
        <v>2935.32</v>
      </c>
      <c r="D50" s="237"/>
    </row>
    <row r="51" spans="1:4" s="13" customFormat="1" ht="12" x14ac:dyDescent="0.3">
      <c r="A51" s="440"/>
      <c r="B51" s="14" t="s">
        <v>70</v>
      </c>
      <c r="C51" s="15">
        <v>460</v>
      </c>
      <c r="D51" s="237"/>
    </row>
    <row r="52" spans="1:4" s="13" customFormat="1" ht="12" x14ac:dyDescent="0.3">
      <c r="A52" s="440"/>
      <c r="B52" s="14" t="s">
        <v>303</v>
      </c>
      <c r="C52" s="15">
        <v>244.61</v>
      </c>
      <c r="D52" s="237"/>
    </row>
    <row r="53" spans="1:4" s="13" customFormat="1" ht="30.75" customHeight="1" x14ac:dyDescent="0.3">
      <c r="A53" s="440"/>
      <c r="B53" s="11" t="s">
        <v>54</v>
      </c>
      <c r="C53" s="12">
        <v>10425</v>
      </c>
      <c r="D53" s="237"/>
    </row>
    <row r="54" spans="1:4" s="13" customFormat="1" ht="12" x14ac:dyDescent="0.3">
      <c r="A54" s="440"/>
      <c r="B54" s="20" t="s">
        <v>67</v>
      </c>
      <c r="C54" s="21">
        <v>1</v>
      </c>
      <c r="D54" s="237"/>
    </row>
    <row r="55" spans="1:4" s="13" customFormat="1" ht="12" x14ac:dyDescent="0.3">
      <c r="A55" s="440"/>
      <c r="B55" s="14" t="s">
        <v>63</v>
      </c>
      <c r="C55" s="15">
        <v>10425</v>
      </c>
      <c r="D55" s="237"/>
    </row>
    <row r="56" spans="1:4" s="13" customFormat="1" ht="12" x14ac:dyDescent="0.3">
      <c r="A56" s="440"/>
      <c r="B56" s="11" t="s">
        <v>8</v>
      </c>
      <c r="C56" s="12">
        <f>C57*C58</f>
        <v>15091.199999999999</v>
      </c>
      <c r="D56" s="237"/>
    </row>
    <row r="57" spans="1:4" s="13" customFormat="1" ht="12" x14ac:dyDescent="0.3">
      <c r="A57" s="440"/>
      <c r="B57" s="14" t="s">
        <v>109</v>
      </c>
      <c r="C57" s="15">
        <v>12</v>
      </c>
      <c r="D57" s="237"/>
    </row>
    <row r="58" spans="1:4" s="13" customFormat="1" ht="12" x14ac:dyDescent="0.3">
      <c r="A58" s="440"/>
      <c r="B58" s="14" t="s">
        <v>110</v>
      </c>
      <c r="C58" s="15">
        <v>1257.5999999999999</v>
      </c>
      <c r="D58" s="237"/>
    </row>
    <row r="59" spans="1:4" s="13" customFormat="1" ht="12" x14ac:dyDescent="0.3">
      <c r="A59" s="440"/>
      <c r="B59" s="11" t="s">
        <v>28</v>
      </c>
      <c r="C59" s="12"/>
      <c r="D59" s="237"/>
    </row>
    <row r="60" spans="1:4" s="13" customFormat="1" ht="12" x14ac:dyDescent="0.3">
      <c r="A60" s="440"/>
      <c r="B60" s="14" t="s">
        <v>67</v>
      </c>
      <c r="C60" s="15"/>
      <c r="D60" s="237"/>
    </row>
    <row r="61" spans="1:4" s="13" customFormat="1" ht="12" x14ac:dyDescent="0.3">
      <c r="A61" s="440"/>
      <c r="B61" s="14" t="s">
        <v>111</v>
      </c>
      <c r="C61" s="15"/>
      <c r="D61" s="237"/>
    </row>
    <row r="62" spans="1:4" s="13" customFormat="1" ht="12" x14ac:dyDescent="0.3">
      <c r="A62" s="440"/>
      <c r="B62" s="11" t="s">
        <v>96</v>
      </c>
      <c r="C62" s="12">
        <v>71200</v>
      </c>
      <c r="D62" s="237"/>
    </row>
    <row r="63" spans="1:4" s="13" customFormat="1" ht="12" x14ac:dyDescent="0.3">
      <c r="A63" s="440"/>
      <c r="B63" s="14" t="s">
        <v>109</v>
      </c>
      <c r="C63" s="15">
        <v>12</v>
      </c>
      <c r="D63" s="237"/>
    </row>
    <row r="64" spans="1:4" s="13" customFormat="1" ht="12" x14ac:dyDescent="0.3">
      <c r="A64" s="440"/>
      <c r="B64" s="14" t="s">
        <v>110</v>
      </c>
      <c r="C64" s="15">
        <v>600</v>
      </c>
      <c r="D64" s="237"/>
    </row>
    <row r="65" spans="1:4" s="292" customFormat="1" ht="12" x14ac:dyDescent="0.3">
      <c r="A65" s="440"/>
      <c r="B65" s="290" t="s">
        <v>304</v>
      </c>
      <c r="C65" s="291">
        <v>64000</v>
      </c>
      <c r="D65" s="292" t="s">
        <v>472</v>
      </c>
    </row>
    <row r="66" spans="1:4" s="13" customFormat="1" ht="22.8" x14ac:dyDescent="0.3">
      <c r="A66" s="440"/>
      <c r="B66" s="11" t="s">
        <v>305</v>
      </c>
      <c r="C66" s="12">
        <f>C67*C68</f>
        <v>33960</v>
      </c>
      <c r="D66" s="237"/>
    </row>
    <row r="67" spans="1:4" s="13" customFormat="1" ht="12" x14ac:dyDescent="0.3">
      <c r="A67" s="440"/>
      <c r="B67" s="14" t="s">
        <v>109</v>
      </c>
      <c r="C67" s="15">
        <v>12</v>
      </c>
      <c r="D67" s="237"/>
    </row>
    <row r="68" spans="1:4" s="13" customFormat="1" ht="12" x14ac:dyDescent="0.3">
      <c r="A68" s="440"/>
      <c r="B68" s="14" t="s">
        <v>110</v>
      </c>
      <c r="C68" s="15">
        <v>2830</v>
      </c>
      <c r="D68" s="237"/>
    </row>
    <row r="69" spans="1:4" s="13" customFormat="1" ht="12" x14ac:dyDescent="0.3">
      <c r="A69" s="440"/>
      <c r="B69" s="11" t="s">
        <v>103</v>
      </c>
      <c r="C69" s="12">
        <f>C70*C71</f>
        <v>15091.199999999999</v>
      </c>
      <c r="D69" s="237"/>
    </row>
    <row r="70" spans="1:4" s="13" customFormat="1" ht="12" x14ac:dyDescent="0.3">
      <c r="A70" s="440"/>
      <c r="B70" s="14" t="s">
        <v>109</v>
      </c>
      <c r="C70" s="15">
        <v>12</v>
      </c>
      <c r="D70" s="237"/>
    </row>
    <row r="71" spans="1:4" s="13" customFormat="1" ht="12" x14ac:dyDescent="0.3">
      <c r="A71" s="440"/>
      <c r="B71" s="14" t="s">
        <v>110</v>
      </c>
      <c r="C71" s="15">
        <v>1257.5999999999999</v>
      </c>
      <c r="D71" s="237"/>
    </row>
    <row r="72" spans="1:4" s="13" customFormat="1" ht="18.75" customHeight="1" x14ac:dyDescent="0.3">
      <c r="A72" s="440"/>
      <c r="B72" s="11" t="s">
        <v>26</v>
      </c>
      <c r="C72" s="12">
        <v>6000</v>
      </c>
      <c r="D72" s="237"/>
    </row>
    <row r="73" spans="1:4" s="13" customFormat="1" ht="12" x14ac:dyDescent="0.3">
      <c r="A73" s="440"/>
      <c r="B73" s="14" t="s">
        <v>109</v>
      </c>
      <c r="C73" s="15">
        <v>12</v>
      </c>
      <c r="D73" s="237"/>
    </row>
    <row r="74" spans="1:4" s="13" customFormat="1" ht="12" x14ac:dyDescent="0.3">
      <c r="A74" s="440"/>
      <c r="B74" s="14" t="s">
        <v>110</v>
      </c>
      <c r="C74" s="15">
        <v>500</v>
      </c>
      <c r="D74" s="237"/>
    </row>
    <row r="75" spans="1:4" s="13" customFormat="1" ht="12" x14ac:dyDescent="0.3">
      <c r="A75" s="440"/>
      <c r="B75" s="22" t="s">
        <v>169</v>
      </c>
      <c r="C75" s="12"/>
      <c r="D75" s="237"/>
    </row>
    <row r="76" spans="1:4" s="13" customFormat="1" ht="12" x14ac:dyDescent="0.3">
      <c r="A76" s="440"/>
      <c r="B76" s="23" t="s">
        <v>46</v>
      </c>
      <c r="C76" s="24">
        <v>30000</v>
      </c>
      <c r="D76" s="237" t="s">
        <v>306</v>
      </c>
    </row>
    <row r="77" spans="1:4" s="13" customFormat="1" ht="12" x14ac:dyDescent="0.3">
      <c r="A77" s="440"/>
      <c r="B77" s="11" t="s">
        <v>102</v>
      </c>
      <c r="C77" s="12">
        <f>C78*C79*C80</f>
        <v>13500</v>
      </c>
      <c r="D77" s="237"/>
    </row>
    <row r="78" spans="1:4" s="13" customFormat="1" ht="12" x14ac:dyDescent="0.3">
      <c r="A78" s="440"/>
      <c r="B78" s="14" t="s">
        <v>67</v>
      </c>
      <c r="C78" s="15">
        <v>2</v>
      </c>
      <c r="D78" s="237"/>
    </row>
    <row r="79" spans="1:4" s="13" customFormat="1" ht="12" x14ac:dyDescent="0.3">
      <c r="A79" s="440"/>
      <c r="B79" s="14" t="s">
        <v>69</v>
      </c>
      <c r="C79" s="15">
        <v>1</v>
      </c>
      <c r="D79" s="237"/>
    </row>
    <row r="80" spans="1:4" s="13" customFormat="1" ht="12" x14ac:dyDescent="0.3">
      <c r="A80" s="440"/>
      <c r="B80" s="14" t="s">
        <v>105</v>
      </c>
      <c r="C80" s="15">
        <v>6750</v>
      </c>
      <c r="D80" s="237"/>
    </row>
    <row r="81" spans="1:4" s="13" customFormat="1" ht="12" x14ac:dyDescent="0.3">
      <c r="A81" s="440"/>
      <c r="B81" s="11" t="s">
        <v>31</v>
      </c>
      <c r="C81" s="12">
        <f>C82*C83</f>
        <v>1780</v>
      </c>
      <c r="D81" s="237"/>
    </row>
    <row r="82" spans="1:4" s="13" customFormat="1" ht="12" x14ac:dyDescent="0.3">
      <c r="A82" s="440"/>
      <c r="B82" s="14" t="s">
        <v>109</v>
      </c>
      <c r="C82" s="15">
        <v>2</v>
      </c>
      <c r="D82" s="237"/>
    </row>
    <row r="83" spans="1:4" s="13" customFormat="1" ht="12" x14ac:dyDescent="0.3">
      <c r="A83" s="440"/>
      <c r="B83" s="14" t="s">
        <v>110</v>
      </c>
      <c r="C83" s="15">
        <v>890</v>
      </c>
      <c r="D83" s="237"/>
    </row>
    <row r="84" spans="1:4" s="13" customFormat="1" ht="12" x14ac:dyDescent="0.3">
      <c r="A84" s="440"/>
      <c r="B84" s="11" t="s">
        <v>32</v>
      </c>
      <c r="C84" s="12">
        <v>6350</v>
      </c>
      <c r="D84" s="237"/>
    </row>
    <row r="85" spans="1:4" s="13" customFormat="1" ht="12" x14ac:dyDescent="0.3">
      <c r="A85" s="440"/>
      <c r="B85" s="14" t="s">
        <v>109</v>
      </c>
      <c r="C85" s="15">
        <v>12</v>
      </c>
      <c r="D85" s="237"/>
    </row>
    <row r="86" spans="1:4" s="13" customFormat="1" ht="12" x14ac:dyDescent="0.3">
      <c r="A86" s="440"/>
      <c r="B86" s="14" t="s">
        <v>110</v>
      </c>
      <c r="C86" s="15">
        <v>530</v>
      </c>
      <c r="D86" s="237"/>
    </row>
    <row r="87" spans="1:4" s="13" customFormat="1" ht="12" x14ac:dyDescent="0.3">
      <c r="A87" s="440"/>
      <c r="B87" s="11" t="s">
        <v>49</v>
      </c>
      <c r="C87" s="12">
        <v>17100</v>
      </c>
      <c r="D87" s="237"/>
    </row>
    <row r="88" spans="1:4" s="13" customFormat="1" ht="12" x14ac:dyDescent="0.3">
      <c r="A88" s="440"/>
      <c r="B88" s="14" t="s">
        <v>65</v>
      </c>
      <c r="C88" s="15">
        <v>225</v>
      </c>
      <c r="D88" s="237"/>
    </row>
    <row r="89" spans="1:4" s="13" customFormat="1" ht="12" x14ac:dyDescent="0.3">
      <c r="A89" s="440"/>
      <c r="B89" s="14" t="s">
        <v>68</v>
      </c>
      <c r="C89" s="15">
        <v>1</v>
      </c>
      <c r="D89" s="237"/>
    </row>
    <row r="90" spans="1:4" s="13" customFormat="1" ht="12" x14ac:dyDescent="0.3">
      <c r="A90" s="440"/>
      <c r="B90" s="14" t="s">
        <v>307</v>
      </c>
      <c r="C90" s="15">
        <v>17100</v>
      </c>
      <c r="D90" s="237"/>
    </row>
    <row r="91" spans="1:4" s="13" customFormat="1" ht="12" x14ac:dyDescent="0.3">
      <c r="A91" s="440"/>
      <c r="B91" s="25" t="s">
        <v>308</v>
      </c>
      <c r="C91" s="24">
        <v>12870</v>
      </c>
      <c r="D91" s="237"/>
    </row>
    <row r="92" spans="1:4" s="13" customFormat="1" ht="12" x14ac:dyDescent="0.3">
      <c r="A92" s="440"/>
      <c r="B92" s="11" t="s">
        <v>51</v>
      </c>
      <c r="C92" s="12">
        <f>C93*C94</f>
        <v>6300</v>
      </c>
      <c r="D92" s="237"/>
    </row>
    <row r="93" spans="1:4" s="13" customFormat="1" ht="12" x14ac:dyDescent="0.3">
      <c r="A93" s="440"/>
      <c r="B93" s="14" t="s">
        <v>309</v>
      </c>
      <c r="C93" s="15">
        <v>18</v>
      </c>
      <c r="D93" s="237"/>
    </row>
    <row r="94" spans="1:4" s="13" customFormat="1" ht="12" x14ac:dyDescent="0.3">
      <c r="A94" s="440"/>
      <c r="B94" s="14" t="s">
        <v>105</v>
      </c>
      <c r="C94" s="15">
        <v>350</v>
      </c>
      <c r="D94" s="237"/>
    </row>
    <row r="95" spans="1:4" s="13" customFormat="1" ht="12" x14ac:dyDescent="0.3">
      <c r="A95" s="440"/>
      <c r="B95" s="11" t="s">
        <v>52</v>
      </c>
      <c r="C95" s="12"/>
      <c r="D95" s="237"/>
    </row>
    <row r="96" spans="1:4" s="13" customFormat="1" ht="12" x14ac:dyDescent="0.3">
      <c r="A96" s="440"/>
      <c r="B96" s="14" t="s">
        <v>109</v>
      </c>
      <c r="C96" s="15"/>
      <c r="D96" s="237"/>
    </row>
    <row r="97" spans="1:4" s="13" customFormat="1" ht="12" x14ac:dyDescent="0.3">
      <c r="A97" s="440"/>
      <c r="B97" s="14" t="s">
        <v>110</v>
      </c>
      <c r="C97" s="15"/>
      <c r="D97" s="237"/>
    </row>
    <row r="98" spans="1:4" s="13" customFormat="1" ht="12" x14ac:dyDescent="0.3">
      <c r="A98" s="440"/>
      <c r="B98" s="11" t="s">
        <v>45</v>
      </c>
      <c r="C98" s="12">
        <v>118021.94</v>
      </c>
      <c r="D98" s="237"/>
    </row>
    <row r="99" spans="1:4" s="13" customFormat="1" ht="12" x14ac:dyDescent="0.3">
      <c r="A99" s="440"/>
      <c r="B99" s="25" t="s">
        <v>9</v>
      </c>
      <c r="C99" s="24"/>
      <c r="D99" s="237"/>
    </row>
    <row r="100" spans="1:4" s="36" customFormat="1" ht="12" x14ac:dyDescent="0.3">
      <c r="A100" s="440"/>
      <c r="B100" s="28" t="s">
        <v>310</v>
      </c>
      <c r="C100" s="35">
        <v>20000</v>
      </c>
      <c r="D100" s="238"/>
    </row>
    <row r="101" spans="1:4" s="36" customFormat="1" ht="12" x14ac:dyDescent="0.3">
      <c r="A101" s="440"/>
      <c r="B101" s="28" t="s">
        <v>311</v>
      </c>
      <c r="C101" s="35">
        <v>15000</v>
      </c>
      <c r="D101" s="238"/>
    </row>
    <row r="102" spans="1:4" s="36" customFormat="1" ht="12" x14ac:dyDescent="0.3">
      <c r="A102" s="440"/>
      <c r="B102" s="28"/>
      <c r="C102" s="35"/>
      <c r="D102" s="238"/>
    </row>
    <row r="103" spans="1:4" s="36" customFormat="1" ht="12" x14ac:dyDescent="0.3">
      <c r="A103" s="440"/>
      <c r="B103" s="28"/>
      <c r="C103" s="35"/>
      <c r="D103" s="238"/>
    </row>
    <row r="104" spans="1:4" s="36" customFormat="1" ht="12" x14ac:dyDescent="0.3">
      <c r="A104" s="440"/>
      <c r="B104" s="28"/>
      <c r="C104" s="35"/>
      <c r="D104" s="238"/>
    </row>
    <row r="105" spans="1:4" s="13" customFormat="1" ht="29.25" customHeight="1" x14ac:dyDescent="0.3">
      <c r="A105" s="440"/>
      <c r="B105" s="16" t="s">
        <v>89</v>
      </c>
      <c r="C105" s="17">
        <f>C47+C50+C53+C56+C62+C66+C69+C72+C76+C77+C81+C84+C87+C91+C92+C98+C100+C101</f>
        <v>400253.36</v>
      </c>
      <c r="D105" s="237"/>
    </row>
    <row r="106" spans="1:4" s="13" customFormat="1" ht="12" x14ac:dyDescent="0.3">
      <c r="A106" s="434">
        <v>226</v>
      </c>
      <c r="B106" s="25" t="s">
        <v>10</v>
      </c>
      <c r="C106" s="24">
        <v>18084.29</v>
      </c>
      <c r="D106" s="237"/>
    </row>
    <row r="107" spans="1:4" s="13" customFormat="1" ht="12" x14ac:dyDescent="0.3">
      <c r="A107" s="435"/>
      <c r="B107" s="11" t="s">
        <v>11</v>
      </c>
      <c r="C107" s="12">
        <f>C108*C109</f>
        <v>48300</v>
      </c>
      <c r="D107" s="237"/>
    </row>
    <row r="108" spans="1:4" s="13" customFormat="1" ht="12" x14ac:dyDescent="0.3">
      <c r="A108" s="435"/>
      <c r="B108" s="14" t="s">
        <v>68</v>
      </c>
      <c r="C108" s="15">
        <v>14</v>
      </c>
      <c r="D108" s="237"/>
    </row>
    <row r="109" spans="1:4" s="13" customFormat="1" ht="21" customHeight="1" x14ac:dyDescent="0.3">
      <c r="A109" s="435"/>
      <c r="B109" s="14" t="s">
        <v>112</v>
      </c>
      <c r="C109" s="15">
        <v>3450</v>
      </c>
      <c r="D109" s="237"/>
    </row>
    <row r="110" spans="1:4" s="13" customFormat="1" ht="27" customHeight="1" x14ac:dyDescent="0.3">
      <c r="A110" s="435"/>
      <c r="B110" s="11" t="s">
        <v>42</v>
      </c>
      <c r="C110" s="12">
        <f>C111*C112</f>
        <v>6900</v>
      </c>
      <c r="D110" s="237"/>
    </row>
    <row r="111" spans="1:4" s="13" customFormat="1" ht="12" x14ac:dyDescent="0.3">
      <c r="A111" s="435"/>
      <c r="B111" s="14" t="s">
        <v>68</v>
      </c>
      <c r="C111" s="15">
        <v>2</v>
      </c>
      <c r="D111" s="237"/>
    </row>
    <row r="112" spans="1:4" s="13" customFormat="1" ht="12" x14ac:dyDescent="0.3">
      <c r="A112" s="435"/>
      <c r="B112" s="14" t="s">
        <v>112</v>
      </c>
      <c r="C112" s="15">
        <v>3450</v>
      </c>
      <c r="D112" s="237"/>
    </row>
    <row r="113" spans="1:4" s="13" customFormat="1" ht="12" x14ac:dyDescent="0.3">
      <c r="A113" s="435"/>
      <c r="B113" s="11" t="s">
        <v>12</v>
      </c>
      <c r="C113" s="12">
        <v>48000</v>
      </c>
      <c r="D113" s="237"/>
    </row>
    <row r="114" spans="1:4" s="13" customFormat="1" ht="12" x14ac:dyDescent="0.3">
      <c r="A114" s="435"/>
      <c r="B114" s="14" t="s">
        <v>109</v>
      </c>
      <c r="C114" s="15">
        <v>12</v>
      </c>
      <c r="D114" s="237"/>
    </row>
    <row r="115" spans="1:4" s="13" customFormat="1" ht="12" x14ac:dyDescent="0.3">
      <c r="A115" s="435"/>
      <c r="B115" s="14" t="s">
        <v>110</v>
      </c>
      <c r="C115" s="15">
        <v>4000</v>
      </c>
      <c r="D115" s="237"/>
    </row>
    <row r="116" spans="1:4" s="13" customFormat="1" ht="12" x14ac:dyDescent="0.3">
      <c r="A116" s="435"/>
      <c r="B116" s="11" t="s">
        <v>36</v>
      </c>
      <c r="C116" s="12">
        <v>25000</v>
      </c>
      <c r="D116" s="237"/>
    </row>
    <row r="117" spans="1:4" s="13" customFormat="1" ht="30" customHeight="1" x14ac:dyDescent="0.3">
      <c r="A117" s="435"/>
      <c r="B117" s="14" t="s">
        <v>312</v>
      </c>
      <c r="C117" s="15">
        <v>12</v>
      </c>
      <c r="D117" s="237" t="s">
        <v>306</v>
      </c>
    </row>
    <row r="118" spans="1:4" s="13" customFormat="1" ht="12" x14ac:dyDescent="0.3">
      <c r="A118" s="435"/>
      <c r="B118" s="14" t="s">
        <v>313</v>
      </c>
      <c r="C118" s="15">
        <v>25000</v>
      </c>
      <c r="D118" s="237"/>
    </row>
    <row r="119" spans="1:4" s="13" customFormat="1" ht="12" x14ac:dyDescent="0.3">
      <c r="A119" s="435"/>
      <c r="B119" s="22" t="s">
        <v>113</v>
      </c>
      <c r="C119" s="257">
        <v>7500</v>
      </c>
      <c r="D119" s="157">
        <v>-1500</v>
      </c>
    </row>
    <row r="120" spans="1:4" s="13" customFormat="1" ht="12" x14ac:dyDescent="0.3">
      <c r="A120" s="435"/>
      <c r="B120" s="14" t="s">
        <v>109</v>
      </c>
      <c r="C120" s="15">
        <v>12</v>
      </c>
      <c r="D120" s="237"/>
    </row>
    <row r="121" spans="1:4" s="13" customFormat="1" ht="12" x14ac:dyDescent="0.3">
      <c r="A121" s="435"/>
      <c r="B121" s="14" t="s">
        <v>110</v>
      </c>
      <c r="C121" s="15">
        <v>500</v>
      </c>
      <c r="D121" s="237"/>
    </row>
    <row r="122" spans="1:4" s="13" customFormat="1" ht="12" x14ac:dyDescent="0.3">
      <c r="A122" s="435"/>
      <c r="B122" s="11" t="s">
        <v>41</v>
      </c>
      <c r="C122" s="12"/>
      <c r="D122" s="237"/>
    </row>
    <row r="123" spans="1:4" s="13" customFormat="1" ht="12" x14ac:dyDescent="0.3">
      <c r="A123" s="435"/>
      <c r="B123" s="14" t="s">
        <v>66</v>
      </c>
      <c r="C123" s="15"/>
      <c r="D123" s="237"/>
    </row>
    <row r="124" spans="1:4" s="13" customFormat="1" ht="12" x14ac:dyDescent="0.3">
      <c r="A124" s="435"/>
      <c r="B124" s="14" t="s">
        <v>63</v>
      </c>
      <c r="C124" s="15"/>
      <c r="D124" s="237"/>
    </row>
    <row r="125" spans="1:4" s="13" customFormat="1" ht="12" x14ac:dyDescent="0.3">
      <c r="A125" s="435"/>
      <c r="B125" s="11" t="s">
        <v>40</v>
      </c>
      <c r="C125" s="12"/>
      <c r="D125" s="237"/>
    </row>
    <row r="126" spans="1:4" s="13" customFormat="1" ht="12" x14ac:dyDescent="0.3">
      <c r="A126" s="435"/>
      <c r="B126" s="14" t="s">
        <v>66</v>
      </c>
      <c r="C126" s="15"/>
      <c r="D126" s="237"/>
    </row>
    <row r="127" spans="1:4" s="13" customFormat="1" ht="12" x14ac:dyDescent="0.3">
      <c r="A127" s="435"/>
      <c r="B127" s="14" t="s">
        <v>63</v>
      </c>
      <c r="C127" s="15"/>
      <c r="D127" s="237"/>
    </row>
    <row r="128" spans="1:4" s="13" customFormat="1" ht="22.8" x14ac:dyDescent="0.3">
      <c r="A128" s="435"/>
      <c r="B128" s="11" t="s">
        <v>314</v>
      </c>
      <c r="C128" s="12">
        <v>2000</v>
      </c>
      <c r="D128" s="237"/>
    </row>
    <row r="129" spans="1:4" s="13" customFormat="1" ht="12" x14ac:dyDescent="0.3">
      <c r="A129" s="435"/>
      <c r="B129" s="25" t="s">
        <v>315</v>
      </c>
      <c r="C129" s="24">
        <f>C130*C131</f>
        <v>4032</v>
      </c>
      <c r="D129" s="237"/>
    </row>
    <row r="130" spans="1:4" s="13" customFormat="1" ht="12" x14ac:dyDescent="0.3">
      <c r="A130" s="435"/>
      <c r="B130" s="14" t="s">
        <v>316</v>
      </c>
      <c r="C130" s="15">
        <v>1008</v>
      </c>
      <c r="D130" s="237"/>
    </row>
    <row r="131" spans="1:4" s="13" customFormat="1" ht="12" x14ac:dyDescent="0.3">
      <c r="A131" s="435"/>
      <c r="B131" s="14" t="s">
        <v>63</v>
      </c>
      <c r="C131" s="15">
        <v>4</v>
      </c>
      <c r="D131" s="237"/>
    </row>
    <row r="132" spans="1:4" s="13" customFormat="1" ht="12" x14ac:dyDescent="0.3">
      <c r="A132" s="435"/>
      <c r="B132" s="25" t="s">
        <v>13</v>
      </c>
      <c r="C132" s="24"/>
      <c r="D132" s="237" t="s">
        <v>306</v>
      </c>
    </row>
    <row r="133" spans="1:4" s="13" customFormat="1" ht="12" x14ac:dyDescent="0.3">
      <c r="A133" s="435"/>
      <c r="B133" s="11" t="s">
        <v>317</v>
      </c>
      <c r="C133" s="12">
        <v>2900</v>
      </c>
      <c r="D133" s="237"/>
    </row>
    <row r="134" spans="1:4" s="13" customFormat="1" ht="12" x14ac:dyDescent="0.3">
      <c r="A134" s="435"/>
      <c r="B134" s="25" t="s">
        <v>30</v>
      </c>
      <c r="C134" s="24">
        <v>5800</v>
      </c>
      <c r="D134" s="237"/>
    </row>
    <row r="135" spans="1:4" s="157" customFormat="1" ht="12" x14ac:dyDescent="0.3">
      <c r="A135" s="435"/>
      <c r="B135" s="22" t="s">
        <v>48</v>
      </c>
      <c r="C135" s="257">
        <f>C136*C137</f>
        <v>5188.63</v>
      </c>
      <c r="D135" s="157" t="s">
        <v>181</v>
      </c>
    </row>
    <row r="136" spans="1:4" s="13" customFormat="1" ht="12" x14ac:dyDescent="0.3">
      <c r="A136" s="435"/>
      <c r="B136" s="14" t="s">
        <v>66</v>
      </c>
      <c r="C136" s="15">
        <v>1</v>
      </c>
    </row>
    <row r="137" spans="1:4" s="13" customFormat="1" ht="12" x14ac:dyDescent="0.3">
      <c r="A137" s="435"/>
      <c r="B137" s="14" t="s">
        <v>63</v>
      </c>
      <c r="C137" s="15">
        <v>5188.63</v>
      </c>
    </row>
    <row r="138" spans="1:4" s="13" customFormat="1" ht="12" x14ac:dyDescent="0.3">
      <c r="A138" s="435"/>
      <c r="B138" s="11" t="s">
        <v>15</v>
      </c>
      <c r="C138" s="12">
        <v>1000</v>
      </c>
    </row>
    <row r="139" spans="1:4" s="13" customFormat="1" ht="12" x14ac:dyDescent="0.3">
      <c r="A139" s="435"/>
      <c r="B139" s="25" t="s">
        <v>16</v>
      </c>
      <c r="C139" s="24">
        <v>50000</v>
      </c>
    </row>
    <row r="140" spans="1:4" s="13" customFormat="1" ht="12" x14ac:dyDescent="0.3">
      <c r="A140" s="435"/>
      <c r="B140" s="14" t="s">
        <v>66</v>
      </c>
      <c r="C140" s="15">
        <v>5</v>
      </c>
    </row>
    <row r="141" spans="1:4" s="13" customFormat="1" ht="12" x14ac:dyDescent="0.3">
      <c r="A141" s="435"/>
      <c r="B141" s="14" t="s">
        <v>112</v>
      </c>
      <c r="C141" s="15">
        <v>10000</v>
      </c>
    </row>
    <row r="142" spans="1:4" s="13" customFormat="1" ht="12" x14ac:dyDescent="0.3">
      <c r="A142" s="435"/>
      <c r="B142" s="11" t="s">
        <v>34</v>
      </c>
      <c r="C142" s="12">
        <v>6115.67</v>
      </c>
    </row>
    <row r="143" spans="1:4" s="13" customFormat="1" ht="12" x14ac:dyDescent="0.3">
      <c r="A143" s="435"/>
      <c r="B143" s="14" t="s">
        <v>66</v>
      </c>
      <c r="C143" s="15">
        <v>1</v>
      </c>
    </row>
    <row r="144" spans="1:4" s="13" customFormat="1" ht="12" x14ac:dyDescent="0.3">
      <c r="A144" s="435"/>
      <c r="B144" s="14" t="s">
        <v>63</v>
      </c>
      <c r="C144" s="15">
        <v>6115.67</v>
      </c>
    </row>
    <row r="145" spans="1:3" s="13" customFormat="1" ht="12" x14ac:dyDescent="0.3">
      <c r="A145" s="435"/>
      <c r="B145" s="14" t="s">
        <v>66</v>
      </c>
      <c r="C145" s="15"/>
    </row>
    <row r="146" spans="1:3" s="13" customFormat="1" ht="12" x14ac:dyDescent="0.3">
      <c r="A146" s="435"/>
      <c r="B146" s="14" t="s">
        <v>63</v>
      </c>
      <c r="C146" s="15"/>
    </row>
    <row r="147" spans="1:3" s="13" customFormat="1" ht="12" x14ac:dyDescent="0.3">
      <c r="A147" s="435"/>
      <c r="B147" s="11" t="s">
        <v>35</v>
      </c>
      <c r="C147" s="12">
        <v>42000</v>
      </c>
    </row>
    <row r="148" spans="1:3" s="13" customFormat="1" ht="12" x14ac:dyDescent="0.3">
      <c r="A148" s="435"/>
      <c r="B148" s="14" t="s">
        <v>64</v>
      </c>
      <c r="C148" s="15">
        <v>365</v>
      </c>
    </row>
    <row r="149" spans="1:3" s="13" customFormat="1" ht="12" x14ac:dyDescent="0.3">
      <c r="A149" s="435"/>
      <c r="B149" s="14" t="s">
        <v>68</v>
      </c>
      <c r="C149" s="15">
        <v>1</v>
      </c>
    </row>
    <row r="150" spans="1:3" s="13" customFormat="1" ht="12" x14ac:dyDescent="0.3">
      <c r="A150" s="435"/>
      <c r="B150" s="14" t="s">
        <v>318</v>
      </c>
      <c r="C150" s="15">
        <v>42000</v>
      </c>
    </row>
    <row r="151" spans="1:3" s="13" customFormat="1" ht="12" x14ac:dyDescent="0.3">
      <c r="A151" s="435"/>
      <c r="B151" s="11" t="s">
        <v>50</v>
      </c>
      <c r="C151" s="12">
        <v>16650</v>
      </c>
    </row>
    <row r="152" spans="1:3" s="13" customFormat="1" ht="12" x14ac:dyDescent="0.3">
      <c r="A152" s="435"/>
      <c r="B152" s="14" t="s">
        <v>64</v>
      </c>
      <c r="C152" s="15">
        <v>225</v>
      </c>
    </row>
    <row r="153" spans="1:3" s="13" customFormat="1" ht="12" x14ac:dyDescent="0.3">
      <c r="A153" s="435"/>
      <c r="B153" s="14" t="s">
        <v>68</v>
      </c>
      <c r="C153" s="15">
        <v>1</v>
      </c>
    </row>
    <row r="154" spans="1:3" s="13" customFormat="1" ht="12" x14ac:dyDescent="0.3">
      <c r="A154" s="435"/>
      <c r="B154" s="14" t="s">
        <v>319</v>
      </c>
      <c r="C154" s="15">
        <v>16650</v>
      </c>
    </row>
    <row r="155" spans="1:3" s="26" customFormat="1" ht="11.4" x14ac:dyDescent="0.3">
      <c r="A155" s="435"/>
      <c r="B155" s="11" t="s">
        <v>47</v>
      </c>
      <c r="C155" s="12">
        <v>6000</v>
      </c>
    </row>
    <row r="156" spans="1:3" s="26" customFormat="1" ht="11.4" x14ac:dyDescent="0.3">
      <c r="A156" s="435"/>
      <c r="B156" s="25" t="s">
        <v>27</v>
      </c>
      <c r="C156" s="24">
        <f>C157*C158</f>
        <v>9300</v>
      </c>
    </row>
    <row r="157" spans="1:3" s="13" customFormat="1" ht="12" x14ac:dyDescent="0.3">
      <c r="A157" s="435"/>
      <c r="B157" s="14" t="s">
        <v>114</v>
      </c>
      <c r="C157" s="15">
        <v>12</v>
      </c>
    </row>
    <row r="158" spans="1:3" s="13" customFormat="1" ht="12" x14ac:dyDescent="0.3">
      <c r="A158" s="435"/>
      <c r="B158" s="14" t="s">
        <v>110</v>
      </c>
      <c r="C158" s="15">
        <v>775</v>
      </c>
    </row>
    <row r="159" spans="1:3" s="26" customFormat="1" ht="11.4" x14ac:dyDescent="0.3">
      <c r="A159" s="435"/>
      <c r="B159" s="11" t="s">
        <v>17</v>
      </c>
      <c r="C159" s="12"/>
    </row>
    <row r="160" spans="1:3" s="13" customFormat="1" ht="12" x14ac:dyDescent="0.3">
      <c r="A160" s="435"/>
      <c r="B160" s="14" t="s">
        <v>114</v>
      </c>
      <c r="C160" s="15"/>
    </row>
    <row r="161" spans="1:4" s="13" customFormat="1" ht="12" x14ac:dyDescent="0.3">
      <c r="A161" s="435"/>
      <c r="B161" s="14" t="s">
        <v>110</v>
      </c>
      <c r="C161" s="15"/>
    </row>
    <row r="162" spans="1:4" s="26" customFormat="1" ht="11.4" x14ac:dyDescent="0.3">
      <c r="A162" s="435"/>
      <c r="B162" s="11" t="s">
        <v>18</v>
      </c>
      <c r="C162" s="12">
        <f>C163*C164</f>
        <v>13600</v>
      </c>
    </row>
    <row r="163" spans="1:4" s="13" customFormat="1" ht="12" x14ac:dyDescent="0.3">
      <c r="A163" s="435"/>
      <c r="B163" s="14" t="s">
        <v>66</v>
      </c>
      <c r="C163" s="15">
        <v>100</v>
      </c>
    </row>
    <row r="164" spans="1:4" s="13" customFormat="1" ht="12" x14ac:dyDescent="0.3">
      <c r="A164" s="435"/>
      <c r="B164" s="14" t="s">
        <v>63</v>
      </c>
      <c r="C164" s="15">
        <v>136</v>
      </c>
    </row>
    <row r="165" spans="1:4" s="26" customFormat="1" ht="11.4" x14ac:dyDescent="0.3">
      <c r="A165" s="435"/>
      <c r="B165" s="11" t="s">
        <v>19</v>
      </c>
      <c r="C165" s="12">
        <v>15000</v>
      </c>
    </row>
    <row r="166" spans="1:4" s="13" customFormat="1" ht="12" x14ac:dyDescent="0.3">
      <c r="A166" s="435"/>
      <c r="B166" s="14" t="s">
        <v>66</v>
      </c>
      <c r="C166" s="15">
        <v>5</v>
      </c>
    </row>
    <row r="167" spans="1:4" s="13" customFormat="1" ht="12" x14ac:dyDescent="0.3">
      <c r="A167" s="435"/>
      <c r="B167" s="14" t="s">
        <v>63</v>
      </c>
      <c r="C167" s="15">
        <v>3000</v>
      </c>
    </row>
    <row r="168" spans="1:4" s="26" customFormat="1" ht="11.4" x14ac:dyDescent="0.3">
      <c r="A168" s="436"/>
      <c r="B168" s="16" t="s">
        <v>88</v>
      </c>
      <c r="C168" s="17">
        <f>C106+C107+C110+C113+C119+C116+C122+C125+C128+C129+C133+C134+C135+C138+C139+C142+C147+C151+C155+C156+C159+C162+C165</f>
        <v>333370.59000000003</v>
      </c>
      <c r="D168" s="155">
        <f>C106+C107+C110+C113+C116+C119+C128+C129+C133+C134+C135+C138+C139+C142+C147+C151+C155+C156+C162+C165</f>
        <v>333370.59000000003</v>
      </c>
    </row>
    <row r="169" spans="1:4" s="13" customFormat="1" ht="12" x14ac:dyDescent="0.3">
      <c r="A169" s="440">
        <v>290</v>
      </c>
      <c r="B169" s="27" t="s">
        <v>20</v>
      </c>
      <c r="C169" s="15">
        <v>7674</v>
      </c>
    </row>
    <row r="170" spans="1:4" s="13" customFormat="1" ht="12" x14ac:dyDescent="0.3">
      <c r="A170" s="440"/>
      <c r="B170" s="27" t="s">
        <v>21</v>
      </c>
      <c r="C170" s="15">
        <v>19652</v>
      </c>
    </row>
    <row r="171" spans="1:4" s="26" customFormat="1" ht="11.4" x14ac:dyDescent="0.3">
      <c r="A171" s="440"/>
      <c r="B171" s="16" t="s">
        <v>87</v>
      </c>
      <c r="C171" s="17">
        <f>C169+C170</f>
        <v>27326</v>
      </c>
    </row>
    <row r="172" spans="1:4" s="26" customFormat="1" ht="11.4" x14ac:dyDescent="0.3">
      <c r="A172" s="434">
        <v>340</v>
      </c>
      <c r="B172" s="11" t="s">
        <v>115</v>
      </c>
      <c r="C172" s="12">
        <v>91800</v>
      </c>
    </row>
    <row r="173" spans="1:4" s="13" customFormat="1" ht="12" x14ac:dyDescent="0.3">
      <c r="A173" s="435"/>
      <c r="B173" s="27" t="s">
        <v>75</v>
      </c>
      <c r="C173" s="15">
        <v>27</v>
      </c>
    </row>
    <row r="174" spans="1:4" s="13" customFormat="1" ht="12" x14ac:dyDescent="0.3">
      <c r="A174" s="435"/>
      <c r="B174" s="27" t="s">
        <v>76</v>
      </c>
      <c r="C174" s="15">
        <v>20</v>
      </c>
    </row>
    <row r="175" spans="1:4" s="13" customFormat="1" ht="12" x14ac:dyDescent="0.3">
      <c r="A175" s="435"/>
      <c r="B175" s="27" t="s">
        <v>77</v>
      </c>
      <c r="C175" s="15">
        <v>170</v>
      </c>
    </row>
    <row r="176" spans="1:4" s="26" customFormat="1" ht="11.4" x14ac:dyDescent="0.3">
      <c r="A176" s="435"/>
      <c r="B176" s="11" t="s">
        <v>78</v>
      </c>
      <c r="C176" s="12">
        <v>171000</v>
      </c>
    </row>
    <row r="177" spans="1:3" s="13" customFormat="1" ht="12" x14ac:dyDescent="0.3">
      <c r="A177" s="435"/>
      <c r="B177" s="27" t="s">
        <v>75</v>
      </c>
      <c r="C177" s="15">
        <v>20</v>
      </c>
    </row>
    <row r="178" spans="1:3" s="13" customFormat="1" ht="12" x14ac:dyDescent="0.3">
      <c r="A178" s="435"/>
      <c r="B178" s="27" t="s">
        <v>76</v>
      </c>
      <c r="C178" s="15">
        <v>38</v>
      </c>
    </row>
    <row r="179" spans="1:3" s="13" customFormat="1" ht="12" x14ac:dyDescent="0.3">
      <c r="A179" s="435"/>
      <c r="B179" s="27" t="s">
        <v>77</v>
      </c>
      <c r="C179" s="15">
        <v>225</v>
      </c>
    </row>
    <row r="180" spans="1:3" s="26" customFormat="1" ht="11.4" x14ac:dyDescent="0.3">
      <c r="A180" s="435"/>
      <c r="B180" s="11" t="s">
        <v>74</v>
      </c>
      <c r="C180" s="12">
        <v>34000</v>
      </c>
    </row>
    <row r="181" spans="1:3" s="13" customFormat="1" ht="12" x14ac:dyDescent="0.3">
      <c r="A181" s="435"/>
      <c r="B181" s="27" t="s">
        <v>75</v>
      </c>
      <c r="C181" s="15">
        <v>10</v>
      </c>
    </row>
    <row r="182" spans="1:3" s="13" customFormat="1" ht="12" x14ac:dyDescent="0.3">
      <c r="A182" s="435"/>
      <c r="B182" s="27" t="s">
        <v>76</v>
      </c>
      <c r="C182" s="15">
        <v>20</v>
      </c>
    </row>
    <row r="183" spans="1:3" s="13" customFormat="1" ht="12" x14ac:dyDescent="0.3">
      <c r="A183" s="435"/>
      <c r="B183" s="27" t="s">
        <v>77</v>
      </c>
      <c r="C183" s="15">
        <v>170</v>
      </c>
    </row>
    <row r="184" spans="1:3" s="26" customFormat="1" ht="11.4" x14ac:dyDescent="0.3">
      <c r="A184" s="435"/>
      <c r="B184" s="11" t="s">
        <v>71</v>
      </c>
      <c r="C184" s="12">
        <v>33600</v>
      </c>
    </row>
    <row r="185" spans="1:3" s="26" customFormat="1" ht="11.4" x14ac:dyDescent="0.3">
      <c r="A185" s="435"/>
      <c r="B185" s="25" t="s">
        <v>39</v>
      </c>
      <c r="C185" s="24">
        <v>68068.08</v>
      </c>
    </row>
    <row r="186" spans="1:3" s="26" customFormat="1" ht="5.25" hidden="1" customHeight="1" x14ac:dyDescent="0.3">
      <c r="A186" s="435"/>
      <c r="B186" s="25"/>
      <c r="C186" s="24"/>
    </row>
    <row r="187" spans="1:3" s="26" customFormat="1" ht="5.25" hidden="1" customHeight="1" x14ac:dyDescent="0.3">
      <c r="A187" s="435"/>
      <c r="B187" s="25"/>
      <c r="C187" s="24"/>
    </row>
    <row r="188" spans="1:3" s="26" customFormat="1" ht="5.25" hidden="1" customHeight="1" x14ac:dyDescent="0.3">
      <c r="A188" s="435"/>
      <c r="B188" s="25"/>
      <c r="C188" s="24"/>
    </row>
    <row r="189" spans="1:3" s="26" customFormat="1" ht="5.25" hidden="1" customHeight="1" x14ac:dyDescent="0.3">
      <c r="A189" s="435"/>
      <c r="B189" s="25"/>
      <c r="C189" s="24"/>
    </row>
    <row r="190" spans="1:3" s="26" customFormat="1" ht="5.25" hidden="1" customHeight="1" x14ac:dyDescent="0.3">
      <c r="A190" s="435"/>
      <c r="B190" s="25"/>
      <c r="C190" s="24"/>
    </row>
    <row r="191" spans="1:3" s="26" customFormat="1" ht="5.25" hidden="1" customHeight="1" x14ac:dyDescent="0.3">
      <c r="A191" s="435"/>
      <c r="B191" s="25"/>
      <c r="C191" s="24"/>
    </row>
    <row r="192" spans="1:3" s="26" customFormat="1" ht="11.4" x14ac:dyDescent="0.3">
      <c r="A192" s="435"/>
      <c r="B192" s="11" t="s">
        <v>22</v>
      </c>
      <c r="C192" s="12">
        <v>34073</v>
      </c>
    </row>
    <row r="193" spans="1:4" s="26" customFormat="1" ht="12" customHeight="1" x14ac:dyDescent="0.3">
      <c r="A193" s="435"/>
      <c r="B193" s="25" t="s">
        <v>320</v>
      </c>
      <c r="C193" s="24">
        <v>525</v>
      </c>
    </row>
    <row r="194" spans="1:4" s="26" customFormat="1" ht="15" customHeight="1" x14ac:dyDescent="0.3">
      <c r="A194" s="435"/>
      <c r="B194" s="25" t="s">
        <v>321</v>
      </c>
      <c r="C194" s="24">
        <v>368</v>
      </c>
    </row>
    <row r="195" spans="1:4" s="26" customFormat="1" ht="12.75" customHeight="1" x14ac:dyDescent="0.3">
      <c r="A195" s="435"/>
      <c r="B195" s="25" t="s">
        <v>322</v>
      </c>
      <c r="C195" s="24">
        <v>3600</v>
      </c>
    </row>
    <row r="196" spans="1:4" s="26" customFormat="1" ht="13.5" customHeight="1" x14ac:dyDescent="0.3">
      <c r="A196" s="435"/>
      <c r="B196" s="25" t="s">
        <v>323</v>
      </c>
      <c r="C196" s="24">
        <v>150</v>
      </c>
    </row>
    <row r="197" spans="1:4" s="26" customFormat="1" ht="19.5" customHeight="1" x14ac:dyDescent="0.3">
      <c r="A197" s="435"/>
      <c r="B197" s="25" t="s">
        <v>324</v>
      </c>
      <c r="C197" s="24">
        <v>480</v>
      </c>
    </row>
    <row r="198" spans="1:4" s="26" customFormat="1" ht="13.5" customHeight="1" x14ac:dyDescent="0.3">
      <c r="A198" s="435"/>
      <c r="B198" s="25" t="s">
        <v>325</v>
      </c>
      <c r="C198" s="24">
        <v>600</v>
      </c>
    </row>
    <row r="199" spans="1:4" s="26" customFormat="1" ht="13.5" customHeight="1" x14ac:dyDescent="0.3">
      <c r="A199" s="435"/>
      <c r="B199" s="25" t="s">
        <v>326</v>
      </c>
      <c r="C199" s="24">
        <v>3500</v>
      </c>
    </row>
    <row r="200" spans="1:4" s="26" customFormat="1" ht="13.5" customHeight="1" x14ac:dyDescent="0.3">
      <c r="A200" s="435"/>
      <c r="B200" s="25" t="s">
        <v>327</v>
      </c>
      <c r="C200" s="24">
        <v>1800</v>
      </c>
    </row>
    <row r="201" spans="1:4" s="26" customFormat="1" ht="13.5" customHeight="1" x14ac:dyDescent="0.3">
      <c r="A201" s="435"/>
      <c r="B201" s="25" t="s">
        <v>328</v>
      </c>
      <c r="C201" s="24">
        <v>1300</v>
      </c>
    </row>
    <row r="202" spans="1:4" s="26" customFormat="1" ht="13.5" customHeight="1" x14ac:dyDescent="0.3">
      <c r="A202" s="435"/>
      <c r="B202" s="25" t="s">
        <v>329</v>
      </c>
      <c r="C202" s="24">
        <v>1300</v>
      </c>
    </row>
    <row r="203" spans="1:4" s="26" customFormat="1" ht="13.5" customHeight="1" x14ac:dyDescent="0.3">
      <c r="A203" s="435"/>
      <c r="B203" s="25" t="s">
        <v>330</v>
      </c>
      <c r="C203" s="24">
        <v>4800</v>
      </c>
    </row>
    <row r="204" spans="1:4" s="26" customFormat="1" ht="13.5" customHeight="1" x14ac:dyDescent="0.3">
      <c r="A204" s="435"/>
      <c r="B204" s="25" t="s">
        <v>331</v>
      </c>
      <c r="C204" s="24">
        <v>750</v>
      </c>
      <c r="D204" s="155"/>
    </row>
    <row r="205" spans="1:4" s="26" customFormat="1" ht="13.5" customHeight="1" x14ac:dyDescent="0.3">
      <c r="A205" s="435"/>
      <c r="B205" s="25" t="s">
        <v>332</v>
      </c>
      <c r="C205" s="24">
        <v>300</v>
      </c>
      <c r="D205" s="155"/>
    </row>
    <row r="206" spans="1:4" s="26" customFormat="1" ht="13.5" customHeight="1" x14ac:dyDescent="0.3">
      <c r="A206" s="435"/>
      <c r="B206" s="25" t="s">
        <v>333</v>
      </c>
      <c r="C206" s="24">
        <v>200</v>
      </c>
      <c r="D206" s="155"/>
    </row>
    <row r="207" spans="1:4" s="26" customFormat="1" ht="21.75" customHeight="1" x14ac:dyDescent="0.3">
      <c r="A207" s="435"/>
      <c r="B207" s="25" t="s">
        <v>334</v>
      </c>
      <c r="C207" s="24">
        <v>14400</v>
      </c>
      <c r="D207" s="155"/>
    </row>
    <row r="208" spans="1:4" s="26" customFormat="1" ht="11.4" x14ac:dyDescent="0.3">
      <c r="A208" s="435"/>
      <c r="B208" s="25" t="s">
        <v>72</v>
      </c>
      <c r="C208" s="24">
        <v>6672.59</v>
      </c>
    </row>
    <row r="209" spans="1:3" s="26" customFormat="1" ht="11.4" x14ac:dyDescent="0.3">
      <c r="A209" s="435"/>
      <c r="B209" s="25"/>
      <c r="C209" s="24"/>
    </row>
    <row r="210" spans="1:3" s="26" customFormat="1" ht="11.4" x14ac:dyDescent="0.3">
      <c r="A210" s="435"/>
      <c r="B210" s="25"/>
      <c r="C210" s="24"/>
    </row>
    <row r="211" spans="1:3" s="26" customFormat="1" ht="11.4" x14ac:dyDescent="0.3">
      <c r="A211" s="435"/>
      <c r="B211" s="11" t="s">
        <v>134</v>
      </c>
      <c r="C211" s="12">
        <f>SUM(C212:C227)</f>
        <v>17235.599999999999</v>
      </c>
    </row>
    <row r="212" spans="1:3" s="26" customFormat="1" ht="11.4" x14ac:dyDescent="0.3">
      <c r="A212" s="435"/>
      <c r="B212" s="239" t="s">
        <v>335</v>
      </c>
      <c r="C212" s="240">
        <v>560</v>
      </c>
    </row>
    <row r="213" spans="1:3" s="26" customFormat="1" ht="11.4" x14ac:dyDescent="0.3">
      <c r="A213" s="435"/>
      <c r="B213" s="239" t="s">
        <v>336</v>
      </c>
      <c r="C213" s="240">
        <v>400</v>
      </c>
    </row>
    <row r="214" spans="1:3" s="26" customFormat="1" ht="11.4" x14ac:dyDescent="0.3">
      <c r="A214" s="435"/>
      <c r="B214" s="239" t="s">
        <v>337</v>
      </c>
      <c r="C214" s="240">
        <v>750</v>
      </c>
    </row>
    <row r="215" spans="1:3" s="26" customFormat="1" ht="11.4" x14ac:dyDescent="0.3">
      <c r="A215" s="435"/>
      <c r="B215" s="239" t="s">
        <v>338</v>
      </c>
      <c r="C215" s="240">
        <v>120</v>
      </c>
    </row>
    <row r="216" spans="1:3" s="26" customFormat="1" ht="11.4" x14ac:dyDescent="0.3">
      <c r="A216" s="435"/>
      <c r="B216" s="239" t="s">
        <v>339</v>
      </c>
      <c r="C216" s="240">
        <v>210</v>
      </c>
    </row>
    <row r="217" spans="1:3" s="26" customFormat="1" ht="11.4" x14ac:dyDescent="0.3">
      <c r="A217" s="435"/>
      <c r="B217" s="239" t="s">
        <v>340</v>
      </c>
      <c r="C217" s="240">
        <v>660</v>
      </c>
    </row>
    <row r="218" spans="1:3" s="26" customFormat="1" ht="11.4" x14ac:dyDescent="0.3">
      <c r="A218" s="435"/>
      <c r="B218" s="239" t="s">
        <v>341</v>
      </c>
      <c r="C218" s="240">
        <v>360</v>
      </c>
    </row>
    <row r="219" spans="1:3" s="26" customFormat="1" ht="11.4" x14ac:dyDescent="0.3">
      <c r="A219" s="435"/>
      <c r="B219" s="239" t="s">
        <v>342</v>
      </c>
      <c r="C219" s="240">
        <v>516</v>
      </c>
    </row>
    <row r="220" spans="1:3" s="26" customFormat="1" ht="11.4" x14ac:dyDescent="0.3">
      <c r="A220" s="435"/>
      <c r="B220" s="239" t="s">
        <v>343</v>
      </c>
      <c r="C220" s="240">
        <v>90</v>
      </c>
    </row>
    <row r="221" spans="1:3" s="26" customFormat="1" ht="11.4" x14ac:dyDescent="0.3">
      <c r="A221" s="435"/>
      <c r="B221" s="239" t="s">
        <v>344</v>
      </c>
      <c r="C221" s="240">
        <v>2800</v>
      </c>
    </row>
    <row r="222" spans="1:3" s="26" customFormat="1" ht="11.4" x14ac:dyDescent="0.3">
      <c r="A222" s="435"/>
      <c r="B222" s="239" t="s">
        <v>345</v>
      </c>
      <c r="C222" s="240">
        <v>1269.5999999999999</v>
      </c>
    </row>
    <row r="223" spans="1:3" s="26" customFormat="1" ht="11.4" x14ac:dyDescent="0.3">
      <c r="A223" s="435"/>
      <c r="B223" s="239" t="s">
        <v>346</v>
      </c>
      <c r="C223" s="240">
        <v>1440</v>
      </c>
    </row>
    <row r="224" spans="1:3" s="26" customFormat="1" ht="22.8" x14ac:dyDescent="0.3">
      <c r="A224" s="435"/>
      <c r="B224" s="239" t="s">
        <v>347</v>
      </c>
      <c r="C224" s="240">
        <v>2500</v>
      </c>
    </row>
    <row r="225" spans="1:4" s="26" customFormat="1" ht="11.4" x14ac:dyDescent="0.3">
      <c r="A225" s="435"/>
      <c r="B225" s="239" t="s">
        <v>348</v>
      </c>
      <c r="C225" s="240">
        <v>360</v>
      </c>
    </row>
    <row r="226" spans="1:4" s="26" customFormat="1" ht="11.4" x14ac:dyDescent="0.3">
      <c r="A226" s="435"/>
      <c r="B226" s="239" t="s">
        <v>349</v>
      </c>
      <c r="C226" s="240">
        <v>1200</v>
      </c>
      <c r="D226" s="155"/>
    </row>
    <row r="227" spans="1:4" s="26" customFormat="1" ht="35.25" customHeight="1" x14ac:dyDescent="0.3">
      <c r="A227" s="435"/>
      <c r="B227" s="239" t="s">
        <v>350</v>
      </c>
      <c r="C227" s="240">
        <v>4000</v>
      </c>
      <c r="D227" s="155"/>
    </row>
    <row r="228" spans="1:4" s="26" customFormat="1" ht="15.75" customHeight="1" x14ac:dyDescent="0.3">
      <c r="A228" s="435"/>
      <c r="B228" s="11" t="s">
        <v>351</v>
      </c>
      <c r="C228" s="12">
        <v>15840</v>
      </c>
    </row>
    <row r="229" spans="1:4" s="26" customFormat="1" ht="28.5" customHeight="1" x14ac:dyDescent="0.3">
      <c r="A229" s="435"/>
      <c r="B229" s="11" t="s">
        <v>352</v>
      </c>
      <c r="C229" s="12">
        <v>11520</v>
      </c>
    </row>
    <row r="230" spans="1:4" s="26" customFormat="1" ht="23.25" customHeight="1" x14ac:dyDescent="0.3">
      <c r="A230" s="435"/>
      <c r="B230" s="11" t="s">
        <v>353</v>
      </c>
      <c r="C230" s="12">
        <v>20000</v>
      </c>
    </row>
    <row r="231" spans="1:4" s="26" customFormat="1" ht="11.4" x14ac:dyDescent="0.3">
      <c r="A231" s="435"/>
      <c r="B231" s="11" t="s">
        <v>53</v>
      </c>
      <c r="C231" s="12">
        <v>4000</v>
      </c>
    </row>
    <row r="232" spans="1:4" s="26" customFormat="1" ht="11.4" x14ac:dyDescent="0.3">
      <c r="A232" s="435"/>
      <c r="B232" s="25" t="s">
        <v>73</v>
      </c>
      <c r="C232" s="24"/>
    </row>
    <row r="233" spans="1:4" s="26" customFormat="1" ht="11.4" x14ac:dyDescent="0.3">
      <c r="A233" s="435"/>
      <c r="B233" s="11" t="s">
        <v>38</v>
      </c>
      <c r="C233" s="12">
        <v>188208</v>
      </c>
    </row>
    <row r="234" spans="1:4" s="13" customFormat="1" ht="12" x14ac:dyDescent="0.3">
      <c r="A234" s="435"/>
      <c r="B234" s="27" t="s">
        <v>117</v>
      </c>
      <c r="C234" s="15">
        <v>18600</v>
      </c>
    </row>
    <row r="235" spans="1:4" s="13" customFormat="1" ht="12" x14ac:dyDescent="0.3">
      <c r="A235" s="435"/>
      <c r="B235" s="27" t="s">
        <v>118</v>
      </c>
      <c r="C235" s="15">
        <v>19.8</v>
      </c>
    </row>
    <row r="236" spans="1:4" s="13" customFormat="1" ht="12" x14ac:dyDescent="0.3">
      <c r="A236" s="435"/>
      <c r="B236" s="27" t="s">
        <v>85</v>
      </c>
      <c r="C236" s="15">
        <v>5228</v>
      </c>
    </row>
    <row r="237" spans="1:4" s="13" customFormat="1" ht="12" x14ac:dyDescent="0.3">
      <c r="A237" s="435"/>
      <c r="B237" s="27" t="s">
        <v>116</v>
      </c>
      <c r="C237" s="15">
        <v>36</v>
      </c>
    </row>
    <row r="238" spans="1:4" s="26" customFormat="1" ht="11.4" x14ac:dyDescent="0.3">
      <c r="A238" s="435"/>
      <c r="B238" s="11" t="s">
        <v>23</v>
      </c>
      <c r="C238" s="12">
        <f>C239*C240</f>
        <v>216000</v>
      </c>
    </row>
    <row r="239" spans="1:4" s="13" customFormat="1" ht="12" x14ac:dyDescent="0.3">
      <c r="A239" s="435"/>
      <c r="B239" s="27" t="s">
        <v>67</v>
      </c>
      <c r="C239" s="15">
        <v>40</v>
      </c>
    </row>
    <row r="240" spans="1:4" s="13" customFormat="1" ht="12" x14ac:dyDescent="0.3">
      <c r="A240" s="435"/>
      <c r="B240" s="27" t="s">
        <v>119</v>
      </c>
      <c r="C240" s="15">
        <v>5400</v>
      </c>
    </row>
    <row r="241" spans="1:4" s="26" customFormat="1" ht="11.4" x14ac:dyDescent="0.3">
      <c r="A241" s="435"/>
      <c r="B241" s="11" t="s">
        <v>24</v>
      </c>
      <c r="C241" s="29">
        <f>C242*C243</f>
        <v>7500</v>
      </c>
    </row>
    <row r="242" spans="1:4" s="13" customFormat="1" ht="12" x14ac:dyDescent="0.3">
      <c r="A242" s="435"/>
      <c r="B242" s="27" t="s">
        <v>67</v>
      </c>
      <c r="C242" s="15">
        <v>5</v>
      </c>
    </row>
    <row r="243" spans="1:4" s="13" customFormat="1" ht="12" x14ac:dyDescent="0.3">
      <c r="A243" s="435"/>
      <c r="B243" s="27" t="s">
        <v>120</v>
      </c>
      <c r="C243" s="15">
        <v>1500</v>
      </c>
    </row>
    <row r="244" spans="1:4" s="13" customFormat="1" ht="18.75" customHeight="1" x14ac:dyDescent="0.3">
      <c r="A244" s="436"/>
      <c r="B244" s="16" t="s">
        <v>86</v>
      </c>
      <c r="C244" s="17">
        <f>C172+C176+C180+C184+C185+C192+C208+C211+C228+C229+C230+C231+C233+C238+C241</f>
        <v>919517.27</v>
      </c>
      <c r="D244" s="30"/>
    </row>
    <row r="245" spans="1:4" s="13" customFormat="1" ht="18.75" customHeight="1" x14ac:dyDescent="0.3">
      <c r="A245" s="481">
        <v>310</v>
      </c>
      <c r="B245" s="11" t="s">
        <v>212</v>
      </c>
      <c r="C245" s="12">
        <v>7553</v>
      </c>
      <c r="D245" s="30"/>
    </row>
    <row r="246" spans="1:4" s="13" customFormat="1" ht="18.75" customHeight="1" x14ac:dyDescent="0.3">
      <c r="A246" s="482"/>
      <c r="B246" s="11" t="s">
        <v>354</v>
      </c>
      <c r="C246" s="12">
        <v>10000</v>
      </c>
      <c r="D246" s="30"/>
    </row>
    <row r="247" spans="1:4" s="13" customFormat="1" ht="18.75" customHeight="1" x14ac:dyDescent="0.3">
      <c r="A247" s="483"/>
      <c r="B247" s="16" t="s">
        <v>355</v>
      </c>
      <c r="C247" s="17">
        <v>17553</v>
      </c>
      <c r="D247" s="30"/>
    </row>
    <row r="248" spans="1:4" s="31" customFormat="1" ht="26.25" customHeight="1" x14ac:dyDescent="0.3">
      <c r="A248" s="438" t="s">
        <v>121</v>
      </c>
      <c r="B248" s="439"/>
      <c r="C248" s="34">
        <f>C12+C13+C23+C27+C46+C105+C168+C171+C244+C247</f>
        <v>3098496.57</v>
      </c>
    </row>
    <row r="249" spans="1:4" s="31" customFormat="1" ht="14.4" x14ac:dyDescent="0.3">
      <c r="A249" s="438" t="s">
        <v>122</v>
      </c>
      <c r="B249" s="439"/>
      <c r="C249" s="34">
        <v>3068496.57</v>
      </c>
    </row>
    <row r="250" spans="1:4" s="31" customFormat="1" ht="14.4" x14ac:dyDescent="0.3">
      <c r="A250" s="438" t="s">
        <v>123</v>
      </c>
      <c r="B250" s="439"/>
      <c r="C250" s="34">
        <v>3068496.57</v>
      </c>
    </row>
    <row r="251" spans="1:4" s="31" customFormat="1" x14ac:dyDescent="0.3">
      <c r="A251" s="5"/>
      <c r="B251" s="33"/>
      <c r="C251" s="32"/>
    </row>
    <row r="252" spans="1:4" s="31" customFormat="1" x14ac:dyDescent="0.3">
      <c r="A252" s="5"/>
      <c r="C252" s="32"/>
    </row>
    <row r="253" spans="1:4" s="31" customFormat="1" x14ac:dyDescent="0.3">
      <c r="A253" s="5"/>
      <c r="B253" s="33"/>
      <c r="C253" s="32"/>
    </row>
    <row r="254" spans="1:4" s="31" customFormat="1" x14ac:dyDescent="0.3">
      <c r="A254" s="5"/>
      <c r="C254" s="32"/>
    </row>
    <row r="255" spans="1:4" s="31" customFormat="1" x14ac:dyDescent="0.3">
      <c r="A255" s="5"/>
      <c r="B255" s="33"/>
      <c r="C255" s="32"/>
    </row>
    <row r="256" spans="1:4" s="31" customFormat="1" x14ac:dyDescent="0.3">
      <c r="A256" s="5"/>
      <c r="C256" s="32"/>
    </row>
    <row r="257" spans="1:3" s="31" customFormat="1" x14ac:dyDescent="0.3">
      <c r="A257" s="5"/>
      <c r="C257" s="32"/>
    </row>
    <row r="258" spans="1:3" s="31" customFormat="1" x14ac:dyDescent="0.3">
      <c r="A258" s="5"/>
      <c r="C258" s="32"/>
    </row>
    <row r="259" spans="1:3" s="31" customFormat="1" x14ac:dyDescent="0.3">
      <c r="A259" s="5"/>
      <c r="C259" s="32"/>
    </row>
    <row r="260" spans="1:3" s="31" customFormat="1" x14ac:dyDescent="0.3">
      <c r="A260" s="5"/>
      <c r="C260" s="32"/>
    </row>
    <row r="261" spans="1:3" s="31" customFormat="1" x14ac:dyDescent="0.3">
      <c r="A261" s="5"/>
      <c r="C261" s="32"/>
    </row>
    <row r="262" spans="1:3" s="31" customFormat="1" x14ac:dyDescent="0.3">
      <c r="A262" s="5"/>
      <c r="C262" s="32"/>
    </row>
    <row r="263" spans="1:3" s="31" customFormat="1" x14ac:dyDescent="0.3">
      <c r="A263" s="5"/>
      <c r="C263" s="32"/>
    </row>
    <row r="264" spans="1:3" s="31" customFormat="1" x14ac:dyDescent="0.3">
      <c r="A264" s="5"/>
      <c r="C264" s="32"/>
    </row>
    <row r="265" spans="1:3" s="31" customFormat="1" x14ac:dyDescent="0.3">
      <c r="A265" s="5"/>
      <c r="C265" s="32"/>
    </row>
    <row r="266" spans="1:3" s="31" customFormat="1" x14ac:dyDescent="0.3">
      <c r="A266" s="5"/>
      <c r="C266" s="32"/>
    </row>
    <row r="267" spans="1:3" s="31" customFormat="1" x14ac:dyDescent="0.3">
      <c r="A267" s="5"/>
      <c r="C267" s="32"/>
    </row>
    <row r="268" spans="1:3" s="31" customFormat="1" x14ac:dyDescent="0.3">
      <c r="A268" s="5"/>
      <c r="C268" s="32"/>
    </row>
    <row r="269" spans="1:3" s="31" customFormat="1" x14ac:dyDescent="0.3">
      <c r="A269" s="5"/>
      <c r="C269" s="32"/>
    </row>
    <row r="270" spans="1:3" s="31" customFormat="1" x14ac:dyDescent="0.3">
      <c r="A270" s="5"/>
      <c r="C270" s="32"/>
    </row>
    <row r="271" spans="1:3" s="31" customFormat="1" x14ac:dyDescent="0.3">
      <c r="A271" s="5"/>
      <c r="C271" s="32"/>
    </row>
    <row r="272" spans="1:3" s="31" customFormat="1" x14ac:dyDescent="0.3">
      <c r="A272" s="5"/>
      <c r="C272" s="32"/>
    </row>
    <row r="273" spans="1:3" s="31" customFormat="1" x14ac:dyDescent="0.3">
      <c r="A273" s="5"/>
      <c r="C273" s="32"/>
    </row>
    <row r="274" spans="1:3" s="31" customFormat="1" x14ac:dyDescent="0.3">
      <c r="A274" s="5"/>
      <c r="C274" s="32"/>
    </row>
    <row r="275" spans="1:3" s="31" customFormat="1" x14ac:dyDescent="0.3">
      <c r="A275" s="5"/>
      <c r="C275" s="32"/>
    </row>
    <row r="276" spans="1:3" s="31" customFormat="1" x14ac:dyDescent="0.3">
      <c r="A276" s="5"/>
      <c r="C276" s="32"/>
    </row>
    <row r="277" spans="1:3" s="31" customFormat="1" x14ac:dyDescent="0.3">
      <c r="A277" s="5"/>
      <c r="C277" s="32"/>
    </row>
    <row r="278" spans="1:3" s="31" customFormat="1" x14ac:dyDescent="0.3">
      <c r="A278" s="5"/>
      <c r="C278" s="32"/>
    </row>
    <row r="279" spans="1:3" s="31" customFormat="1" x14ac:dyDescent="0.3">
      <c r="A279" s="5"/>
      <c r="C279" s="32"/>
    </row>
    <row r="280" spans="1:3" s="31" customFormat="1" x14ac:dyDescent="0.3">
      <c r="A280" s="5"/>
      <c r="C280" s="32"/>
    </row>
    <row r="281" spans="1:3" s="31" customFormat="1" x14ac:dyDescent="0.3">
      <c r="A281" s="5"/>
      <c r="C281" s="32"/>
    </row>
    <row r="282" spans="1:3" s="31" customFormat="1" x14ac:dyDescent="0.3">
      <c r="A282" s="5"/>
      <c r="C282" s="32"/>
    </row>
    <row r="283" spans="1:3" s="31" customFormat="1" x14ac:dyDescent="0.3">
      <c r="A283" s="5"/>
      <c r="C283" s="32"/>
    </row>
    <row r="284" spans="1:3" s="31" customFormat="1" x14ac:dyDescent="0.3">
      <c r="A284" s="5"/>
      <c r="C284" s="32"/>
    </row>
    <row r="285" spans="1:3" s="31" customFormat="1" x14ac:dyDescent="0.3">
      <c r="A285" s="5"/>
      <c r="C285" s="32"/>
    </row>
    <row r="286" spans="1:3" s="31" customFormat="1" x14ac:dyDescent="0.3">
      <c r="A286" s="5"/>
      <c r="C286" s="32"/>
    </row>
    <row r="287" spans="1:3" s="31" customFormat="1" x14ac:dyDescent="0.3">
      <c r="A287" s="5"/>
      <c r="C287" s="32"/>
    </row>
    <row r="288" spans="1:3" s="31" customFormat="1" x14ac:dyDescent="0.3">
      <c r="A288" s="5"/>
      <c r="C288" s="32"/>
    </row>
    <row r="289" spans="1:3" s="31" customFormat="1" x14ac:dyDescent="0.3">
      <c r="A289" s="5"/>
      <c r="C289" s="32"/>
    </row>
    <row r="290" spans="1:3" s="31" customFormat="1" x14ac:dyDescent="0.3">
      <c r="A290" s="5"/>
      <c r="C290" s="32"/>
    </row>
    <row r="291" spans="1:3" s="31" customFormat="1" x14ac:dyDescent="0.3">
      <c r="A291" s="5"/>
      <c r="C291" s="32"/>
    </row>
    <row r="292" spans="1:3" s="31" customFormat="1" x14ac:dyDescent="0.3">
      <c r="A292" s="5"/>
      <c r="C292" s="32"/>
    </row>
    <row r="293" spans="1:3" s="31" customFormat="1" x14ac:dyDescent="0.3">
      <c r="A293" s="5"/>
      <c r="C293" s="32"/>
    </row>
    <row r="294" spans="1:3" s="31" customFormat="1" x14ac:dyDescent="0.3">
      <c r="A294" s="5"/>
      <c r="C294" s="32"/>
    </row>
    <row r="295" spans="1:3" s="31" customFormat="1" x14ac:dyDescent="0.3">
      <c r="A295" s="5"/>
      <c r="C295" s="32"/>
    </row>
    <row r="296" spans="1:3" s="31" customFormat="1" x14ac:dyDescent="0.3">
      <c r="A296" s="5"/>
      <c r="C296" s="32"/>
    </row>
    <row r="297" spans="1:3" s="31" customFormat="1" x14ac:dyDescent="0.3">
      <c r="A297" s="5"/>
      <c r="C297" s="32"/>
    </row>
    <row r="298" spans="1:3" s="31" customFormat="1" x14ac:dyDescent="0.3">
      <c r="A298" s="5"/>
      <c r="C298" s="32"/>
    </row>
    <row r="299" spans="1:3" s="31" customFormat="1" x14ac:dyDescent="0.3">
      <c r="A299" s="5"/>
      <c r="C299" s="32"/>
    </row>
    <row r="300" spans="1:3" s="31" customFormat="1" x14ac:dyDescent="0.3">
      <c r="A300" s="5"/>
      <c r="C300" s="32"/>
    </row>
    <row r="301" spans="1:3" s="31" customFormat="1" x14ac:dyDescent="0.3">
      <c r="A301" s="5"/>
      <c r="C301" s="32"/>
    </row>
    <row r="302" spans="1:3" s="31" customFormat="1" x14ac:dyDescent="0.3">
      <c r="A302" s="5"/>
      <c r="C302" s="32"/>
    </row>
    <row r="303" spans="1:3" s="31" customFormat="1" x14ac:dyDescent="0.3">
      <c r="A303" s="5"/>
      <c r="C303" s="32"/>
    </row>
    <row r="304" spans="1:3" s="31" customFormat="1" x14ac:dyDescent="0.3">
      <c r="A304" s="5"/>
      <c r="C304" s="32"/>
    </row>
    <row r="305" spans="1:3" s="31" customFormat="1" x14ac:dyDescent="0.3">
      <c r="A305" s="5"/>
      <c r="C305" s="32"/>
    </row>
    <row r="306" spans="1:3" s="31" customFormat="1" x14ac:dyDescent="0.3">
      <c r="A306" s="5"/>
      <c r="C306" s="32"/>
    </row>
    <row r="307" spans="1:3" s="31" customFormat="1" x14ac:dyDescent="0.3">
      <c r="A307" s="5"/>
      <c r="C307" s="32"/>
    </row>
    <row r="308" spans="1:3" x14ac:dyDescent="0.25">
      <c r="C308" s="8"/>
    </row>
    <row r="309" spans="1:3" x14ac:dyDescent="0.25">
      <c r="C309" s="8"/>
    </row>
    <row r="310" spans="1:3" x14ac:dyDescent="0.25">
      <c r="C310" s="8"/>
    </row>
    <row r="311" spans="1:3" x14ac:dyDescent="0.25">
      <c r="C311" s="8"/>
    </row>
    <row r="312" spans="1:3" x14ac:dyDescent="0.25">
      <c r="C312" s="8"/>
    </row>
    <row r="313" spans="1:3" x14ac:dyDescent="0.25">
      <c r="C313" s="8"/>
    </row>
    <row r="314" spans="1:3" x14ac:dyDescent="0.25">
      <c r="C314" s="8"/>
    </row>
    <row r="315" spans="1:3" x14ac:dyDescent="0.25">
      <c r="C315" s="8"/>
    </row>
  </sheetData>
  <mergeCells count="15">
    <mergeCell ref="A245:A247"/>
    <mergeCell ref="A248:B248"/>
    <mergeCell ref="A249:B249"/>
    <mergeCell ref="A250:B250"/>
    <mergeCell ref="B1:D1"/>
    <mergeCell ref="A47:A105"/>
    <mergeCell ref="A106:A168"/>
    <mergeCell ref="A169:A171"/>
    <mergeCell ref="A172:A244"/>
    <mergeCell ref="A28:A46"/>
    <mergeCell ref="A3:C3"/>
    <mergeCell ref="B4:C4"/>
    <mergeCell ref="A6:A12"/>
    <mergeCell ref="A14:A23"/>
    <mergeCell ref="A24:A27"/>
  </mergeCells>
  <pageMargins left="0.7" right="0.7" top="0.75" bottom="0.75" header="0.3" footer="0.3"/>
  <pageSetup paperSize="9"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9"/>
  <sheetViews>
    <sheetView view="pageBreakPreview" zoomScale="90" zoomScaleSheetLayoutView="90" workbookViewId="0">
      <selection activeCell="H7" sqref="H7"/>
    </sheetView>
  </sheetViews>
  <sheetFormatPr defaultColWidth="9.109375" defaultRowHeight="13.8" x14ac:dyDescent="0.3"/>
  <cols>
    <col min="1" max="1" width="5" style="5" customWidth="1"/>
    <col min="2" max="2" width="30.6640625" style="5" customWidth="1"/>
    <col min="3" max="3" width="12.109375" style="5" customWidth="1"/>
    <col min="4" max="4" width="11" style="5" customWidth="1"/>
    <col min="5" max="5" width="10.5546875" style="5" customWidth="1"/>
    <col min="6" max="6" width="10.44140625" style="5" customWidth="1"/>
    <col min="7" max="7" width="12.33203125" style="5" customWidth="1"/>
    <col min="8" max="8" width="11.5546875" style="5" customWidth="1"/>
    <col min="9" max="9" width="12.33203125" style="5" customWidth="1"/>
    <col min="10" max="10" width="11.109375" style="5" customWidth="1"/>
    <col min="11" max="11" width="12.5546875" style="5" customWidth="1"/>
    <col min="12" max="16384" width="9.109375" style="5"/>
  </cols>
  <sheetData>
    <row r="1" spans="1:11" x14ac:dyDescent="0.3">
      <c r="C1" s="5" t="s">
        <v>95</v>
      </c>
    </row>
    <row r="2" spans="1:11" ht="17.25" customHeight="1" x14ac:dyDescent="0.3">
      <c r="A2" s="437" t="s">
        <v>97</v>
      </c>
      <c r="B2" s="437"/>
      <c r="C2" s="437"/>
      <c r="E2" s="60">
        <v>0.30199999999999999</v>
      </c>
    </row>
    <row r="3" spans="1:11" ht="17.25" customHeight="1" x14ac:dyDescent="0.3">
      <c r="A3" s="7"/>
      <c r="B3" s="441"/>
      <c r="C3" s="441"/>
      <c r="K3" s="5" t="s">
        <v>153</v>
      </c>
    </row>
    <row r="4" spans="1:11" s="53" customFormat="1" ht="36" customHeight="1" x14ac:dyDescent="0.3">
      <c r="A4" s="306"/>
      <c r="B4" s="6"/>
      <c r="C4" s="306" t="s">
        <v>190</v>
      </c>
      <c r="D4" s="6" t="s">
        <v>191</v>
      </c>
      <c r="E4" s="6" t="s">
        <v>192</v>
      </c>
      <c r="F4" s="6" t="s">
        <v>193</v>
      </c>
      <c r="G4" s="6" t="s">
        <v>194</v>
      </c>
      <c r="H4" s="6" t="s">
        <v>195</v>
      </c>
      <c r="I4" s="6" t="s">
        <v>197</v>
      </c>
      <c r="J4" s="6" t="s">
        <v>198</v>
      </c>
      <c r="K4" s="6" t="s">
        <v>196</v>
      </c>
    </row>
    <row r="5" spans="1:11" s="61" customFormat="1" ht="12" x14ac:dyDescent="0.3">
      <c r="A5" s="440">
        <v>211</v>
      </c>
      <c r="B5" s="78" t="s">
        <v>512</v>
      </c>
      <c r="C5" s="19">
        <f>SUM(D5:K5)</f>
        <v>20188.849999999999</v>
      </c>
      <c r="D5" s="19">
        <f>D6*D7</f>
        <v>0</v>
      </c>
      <c r="E5" s="19">
        <f t="shared" ref="E5:K5" si="0">E6*E7</f>
        <v>0</v>
      </c>
      <c r="F5" s="19">
        <f t="shared" si="0"/>
        <v>0</v>
      </c>
      <c r="G5" s="19">
        <f t="shared" si="0"/>
        <v>0</v>
      </c>
      <c r="H5" s="19">
        <f t="shared" si="0"/>
        <v>20188.849999999999</v>
      </c>
      <c r="I5" s="19">
        <f t="shared" si="0"/>
        <v>0</v>
      </c>
      <c r="J5" s="19">
        <f t="shared" si="0"/>
        <v>0</v>
      </c>
      <c r="K5" s="19">
        <f t="shared" si="0"/>
        <v>0</v>
      </c>
    </row>
    <row r="6" spans="1:11" s="80" customFormat="1" ht="12" x14ac:dyDescent="0.3">
      <c r="A6" s="440"/>
      <c r="B6" s="79" t="s">
        <v>55</v>
      </c>
      <c r="C6" s="68"/>
      <c r="D6" s="68"/>
      <c r="E6" s="69"/>
      <c r="F6" s="69"/>
      <c r="G6" s="68"/>
      <c r="H6" s="313">
        <f>3-2</f>
        <v>1</v>
      </c>
      <c r="I6" s="313">
        <f>0.25-0.25</f>
        <v>0</v>
      </c>
      <c r="J6" s="68"/>
      <c r="K6" s="68"/>
    </row>
    <row r="7" spans="1:11" s="58" customFormat="1" ht="12" x14ac:dyDescent="0.3">
      <c r="A7" s="440"/>
      <c r="B7" s="54" t="s">
        <v>464</v>
      </c>
      <c r="C7" s="55"/>
      <c r="D7" s="55"/>
      <c r="E7" s="56"/>
      <c r="F7" s="56"/>
      <c r="G7" s="55"/>
      <c r="H7" s="55">
        <f>13420*0+20188.85</f>
        <v>20188.849999999999</v>
      </c>
      <c r="I7" s="55">
        <f>1875/0.25*0</f>
        <v>0</v>
      </c>
      <c r="J7" s="55"/>
      <c r="K7" s="55"/>
    </row>
    <row r="8" spans="1:11" s="61" customFormat="1" ht="12" x14ac:dyDescent="0.3">
      <c r="A8" s="440"/>
      <c r="B8" s="78" t="s">
        <v>57</v>
      </c>
      <c r="C8" s="19">
        <f>SUM(D8:K8)</f>
        <v>509250</v>
      </c>
      <c r="D8" s="19">
        <f>D9*D10</f>
        <v>31875</v>
      </c>
      <c r="E8" s="19">
        <f t="shared" ref="E8:K8" si="1">E9*E10</f>
        <v>61875</v>
      </c>
      <c r="F8" s="19">
        <f t="shared" si="1"/>
        <v>24375</v>
      </c>
      <c r="G8" s="19">
        <f t="shared" si="1"/>
        <v>24375</v>
      </c>
      <c r="H8" s="19">
        <f t="shared" si="1"/>
        <v>136875</v>
      </c>
      <c r="I8" s="19">
        <f t="shared" si="1"/>
        <v>130499.99999999999</v>
      </c>
      <c r="J8" s="19">
        <f t="shared" si="1"/>
        <v>20625</v>
      </c>
      <c r="K8" s="19">
        <f t="shared" si="1"/>
        <v>78750</v>
      </c>
    </row>
    <row r="9" spans="1:11" s="80" customFormat="1" ht="12" x14ac:dyDescent="0.3">
      <c r="A9" s="440"/>
      <c r="B9" s="79" t="s">
        <v>55</v>
      </c>
      <c r="C9" s="68"/>
      <c r="D9" s="68">
        <v>4.25</v>
      </c>
      <c r="E9" s="68">
        <v>8.25</v>
      </c>
      <c r="F9" s="69">
        <v>3.25</v>
      </c>
      <c r="G9" s="68">
        <v>3.25</v>
      </c>
      <c r="H9" s="313">
        <f>16.25+2</f>
        <v>18.25</v>
      </c>
      <c r="I9" s="313">
        <f>17.15+0.25</f>
        <v>17.399999999999999</v>
      </c>
      <c r="J9" s="68">
        <v>2.75</v>
      </c>
      <c r="K9" s="68">
        <v>10.5</v>
      </c>
    </row>
    <row r="10" spans="1:11" s="58" customFormat="1" ht="12" x14ac:dyDescent="0.3">
      <c r="A10" s="440"/>
      <c r="B10" s="54" t="s">
        <v>464</v>
      </c>
      <c r="C10" s="55"/>
      <c r="D10" s="55">
        <v>7500</v>
      </c>
      <c r="E10" s="55">
        <v>7500</v>
      </c>
      <c r="F10" s="55">
        <v>7500</v>
      </c>
      <c r="G10" s="55">
        <v>7500</v>
      </c>
      <c r="H10" s="55">
        <v>7500</v>
      </c>
      <c r="I10" s="55">
        <v>7500</v>
      </c>
      <c r="J10" s="55">
        <v>7500</v>
      </c>
      <c r="K10" s="55">
        <v>7500</v>
      </c>
    </row>
    <row r="11" spans="1:11" s="71" customFormat="1" ht="17.25" customHeight="1" x14ac:dyDescent="0.3">
      <c r="A11" s="440"/>
      <c r="B11" s="62" t="s">
        <v>94</v>
      </c>
      <c r="C11" s="70">
        <f>SUM(D11:K11)</f>
        <v>6353266.2000000002</v>
      </c>
      <c r="D11" s="70">
        <f>(D5+D8)*12</f>
        <v>382500</v>
      </c>
      <c r="E11" s="70">
        <f>(E5+E8)*12</f>
        <v>742500</v>
      </c>
      <c r="F11" s="70">
        <f t="shared" ref="F11:K11" si="2">(F5+F8)*12</f>
        <v>292500</v>
      </c>
      <c r="G11" s="70">
        <f t="shared" si="2"/>
        <v>292500</v>
      </c>
      <c r="H11" s="70">
        <f t="shared" si="2"/>
        <v>1884766.2000000002</v>
      </c>
      <c r="I11" s="70">
        <f t="shared" si="2"/>
        <v>1565999.9999999998</v>
      </c>
      <c r="J11" s="70">
        <f t="shared" si="2"/>
        <v>247500</v>
      </c>
      <c r="K11" s="70">
        <f t="shared" si="2"/>
        <v>945000</v>
      </c>
    </row>
    <row r="12" spans="1:11" s="63" customFormat="1" ht="48.75" customHeight="1" x14ac:dyDescent="0.3">
      <c r="A12" s="462">
        <v>212</v>
      </c>
      <c r="B12" s="67" t="s">
        <v>143</v>
      </c>
      <c r="C12" s="19">
        <f>SUM(D12:L12)</f>
        <v>0</v>
      </c>
      <c r="D12" s="166">
        <f>D13*D14*D15</f>
        <v>0</v>
      </c>
      <c r="E12" s="166">
        <f t="shared" ref="E12:K12" si="3">E13*E14*E15</f>
        <v>0</v>
      </c>
      <c r="F12" s="166">
        <f t="shared" si="3"/>
        <v>0</v>
      </c>
      <c r="G12" s="166">
        <f t="shared" si="3"/>
        <v>0</v>
      </c>
      <c r="H12" s="166">
        <f t="shared" si="3"/>
        <v>0</v>
      </c>
      <c r="I12" s="166">
        <f t="shared" si="3"/>
        <v>0</v>
      </c>
      <c r="J12" s="166">
        <f t="shared" si="3"/>
        <v>0</v>
      </c>
      <c r="K12" s="166">
        <f t="shared" si="3"/>
        <v>0</v>
      </c>
    </row>
    <row r="13" spans="1:11" s="66" customFormat="1" ht="15.75" customHeight="1" x14ac:dyDescent="0.3">
      <c r="A13" s="463"/>
      <c r="B13" s="59" t="s">
        <v>141</v>
      </c>
      <c r="C13" s="64"/>
      <c r="D13" s="65">
        <v>50</v>
      </c>
      <c r="E13" s="65">
        <v>50</v>
      </c>
      <c r="F13" s="65">
        <v>50</v>
      </c>
      <c r="G13" s="65">
        <v>50</v>
      </c>
      <c r="H13" s="65">
        <v>50</v>
      </c>
      <c r="I13" s="65">
        <v>50</v>
      </c>
      <c r="J13" s="65">
        <v>50</v>
      </c>
      <c r="K13" s="65">
        <v>50</v>
      </c>
    </row>
    <row r="14" spans="1:11" s="58" customFormat="1" ht="12" x14ac:dyDescent="0.3">
      <c r="A14" s="463"/>
      <c r="B14" s="54" t="s">
        <v>140</v>
      </c>
      <c r="C14" s="55"/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</row>
    <row r="15" spans="1:11" s="58" customFormat="1" ht="12" x14ac:dyDescent="0.3">
      <c r="A15" s="463"/>
      <c r="B15" s="54" t="s">
        <v>142</v>
      </c>
      <c r="C15" s="55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</row>
    <row r="16" spans="1:11" s="71" customFormat="1" ht="17.25" customHeight="1" x14ac:dyDescent="0.3">
      <c r="A16" s="464"/>
      <c r="B16" s="62" t="s">
        <v>139</v>
      </c>
      <c r="C16" s="70">
        <f t="shared" ref="C16:C17" si="4">SUM(D16:L16)</f>
        <v>0</v>
      </c>
      <c r="D16" s="70">
        <f>D12</f>
        <v>0</v>
      </c>
      <c r="E16" s="70">
        <f t="shared" ref="E16:K16" si="5">E12</f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0</v>
      </c>
      <c r="J16" s="70">
        <f t="shared" si="5"/>
        <v>0</v>
      </c>
      <c r="K16" s="70">
        <f t="shared" si="5"/>
        <v>0</v>
      </c>
    </row>
    <row r="17" spans="1:11" s="71" customFormat="1" ht="23.25" customHeight="1" x14ac:dyDescent="0.3">
      <c r="A17" s="72">
        <v>213</v>
      </c>
      <c r="B17" s="62" t="s">
        <v>150</v>
      </c>
      <c r="C17" s="70">
        <f t="shared" si="4"/>
        <v>1918686.3924</v>
      </c>
      <c r="D17" s="70">
        <f>D11*$E2</f>
        <v>115515</v>
      </c>
      <c r="E17" s="288">
        <f t="shared" ref="E17:K17" si="6">E11*$E2</f>
        <v>224235</v>
      </c>
      <c r="F17" s="70">
        <f t="shared" si="6"/>
        <v>88335</v>
      </c>
      <c r="G17" s="70">
        <f t="shared" si="6"/>
        <v>88335</v>
      </c>
      <c r="H17" s="70">
        <f t="shared" si="6"/>
        <v>569199.39240000001</v>
      </c>
      <c r="I17" s="70">
        <f t="shared" si="6"/>
        <v>472931.99999999994</v>
      </c>
      <c r="J17" s="70">
        <f t="shared" si="6"/>
        <v>74745</v>
      </c>
      <c r="K17" s="70">
        <f t="shared" si="6"/>
        <v>285390</v>
      </c>
    </row>
    <row r="18" spans="1:11" x14ac:dyDescent="0.3">
      <c r="C18" s="32"/>
    </row>
    <row r="19" spans="1:11" s="84" customFormat="1" x14ac:dyDescent="0.3">
      <c r="A19" s="82"/>
      <c r="B19" s="82" t="s">
        <v>154</v>
      </c>
      <c r="C19" s="83">
        <f>(D19+E19+F19+G19+H19+I19+J19+K19)</f>
        <v>8271.952592399999</v>
      </c>
      <c r="D19" s="81">
        <f>(D11+D16+D17)/1000</f>
        <v>498.01499999999999</v>
      </c>
      <c r="E19" s="81">
        <f t="shared" ref="E19:K19" si="7">(E11+E16+E17)/1000</f>
        <v>966.73500000000001</v>
      </c>
      <c r="F19" s="81">
        <f t="shared" si="7"/>
        <v>380.83499999999998</v>
      </c>
      <c r="G19" s="81">
        <f t="shared" si="7"/>
        <v>380.83499999999998</v>
      </c>
      <c r="H19" s="81">
        <f t="shared" si="7"/>
        <v>2453.9655924000003</v>
      </c>
      <c r="I19" s="81">
        <f t="shared" si="7"/>
        <v>2038.9319999999998</v>
      </c>
      <c r="J19" s="81">
        <f t="shared" si="7"/>
        <v>322.245</v>
      </c>
      <c r="K19" s="81">
        <f t="shared" si="7"/>
        <v>1230.3900000000001</v>
      </c>
    </row>
    <row r="20" spans="1:11" x14ac:dyDescent="0.3">
      <c r="C20" s="32"/>
    </row>
    <row r="21" spans="1:11" s="61" customFormat="1" ht="12" x14ac:dyDescent="0.3">
      <c r="C21" s="164"/>
      <c r="D21" s="164">
        <f>D11+D17-ШС1!C12-ШС1!C13</f>
        <v>-87850</v>
      </c>
      <c r="E21" s="164">
        <f>E11+E17-ШС2!C11-ШС2!E12</f>
        <v>-170532.054</v>
      </c>
      <c r="F21" s="164">
        <f>F17+F11-ШС3!C12-ШС3!C13</f>
        <v>-67179.293999999994</v>
      </c>
      <c r="G21" s="164">
        <f>G11+G17-ШС4!C12-ШС4!C13</f>
        <v>-67179.293999999994</v>
      </c>
      <c r="H21" s="164">
        <f>H11+H17-ШС5!C12-ШС5!C13</f>
        <v>-79231.407599999569</v>
      </c>
      <c r="I21" s="164">
        <f>I11+I17-ШО2!C12-ШО2!C13</f>
        <v>-41731.704000000202</v>
      </c>
      <c r="J21" s="164">
        <f>J11+J17-ШО3!C12-ШО3!C13</f>
        <v>0</v>
      </c>
      <c r="K21" s="164">
        <f>K11+K17-ШН2!C12-ШН2!C13</f>
        <v>-38156.310000000056</v>
      </c>
    </row>
    <row r="22" spans="1:11" x14ac:dyDescent="0.3">
      <c r="C22" s="32"/>
      <c r="E22" s="289" t="s">
        <v>480</v>
      </c>
    </row>
    <row r="23" spans="1:11" x14ac:dyDescent="0.3">
      <c r="C23" s="32"/>
    </row>
    <row r="24" spans="1:11" x14ac:dyDescent="0.3">
      <c r="C24" s="32"/>
    </row>
    <row r="25" spans="1:11" x14ac:dyDescent="0.3">
      <c r="C25" s="32"/>
    </row>
    <row r="26" spans="1:11" x14ac:dyDescent="0.3">
      <c r="C26" s="32"/>
    </row>
    <row r="27" spans="1:11" x14ac:dyDescent="0.3">
      <c r="C27" s="32"/>
    </row>
    <row r="28" spans="1:11" x14ac:dyDescent="0.3">
      <c r="C28" s="32"/>
    </row>
    <row r="29" spans="1:11" x14ac:dyDescent="0.3">
      <c r="C29" s="32"/>
    </row>
  </sheetData>
  <mergeCells count="4">
    <mergeCell ref="A2:C2"/>
    <mergeCell ref="B3:C3"/>
    <mergeCell ref="A5:A11"/>
    <mergeCell ref="A12:A16"/>
  </mergeCells>
  <pageMargins left="0.39370078740157483" right="0.39370078740157483" top="0.39370078740157483" bottom="0.39370078740157483" header="0.31496062992125984" footer="0.31496062992125984"/>
  <pageSetup paperSize="9" scale="9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76"/>
  <sheetViews>
    <sheetView view="pageBreakPreview" zoomScaleSheetLayoutView="100" workbookViewId="0">
      <pane xSplit="2" ySplit="4" topLeftCell="C99" activePane="bottomRight" state="frozen"/>
      <selection pane="topRight" activeCell="C1" sqref="C1"/>
      <selection pane="bottomLeft" activeCell="A5" sqref="A5"/>
      <selection pane="bottomRight" activeCell="I117" sqref="I117"/>
    </sheetView>
  </sheetViews>
  <sheetFormatPr defaultColWidth="11.88671875" defaultRowHeight="13.8" x14ac:dyDescent="0.3"/>
  <cols>
    <col min="1" max="1" width="6.6640625" style="87" customWidth="1"/>
    <col min="2" max="2" width="22.33203125" style="95" customWidth="1"/>
    <col min="3" max="3" width="11.88671875" style="87"/>
    <col min="4" max="6" width="11.88671875" style="95"/>
    <col min="7" max="7" width="13.5546875" style="95" customWidth="1"/>
    <col min="8" max="16384" width="11.88671875" style="95"/>
  </cols>
  <sheetData>
    <row r="1" spans="1:11" ht="27.6" x14ac:dyDescent="0.3">
      <c r="C1" s="109" t="s">
        <v>95</v>
      </c>
    </row>
    <row r="2" spans="1:11" ht="17.25" customHeight="1" x14ac:dyDescent="0.3">
      <c r="A2" s="461" t="s">
        <v>97</v>
      </c>
      <c r="B2" s="461"/>
      <c r="C2" s="461"/>
    </row>
    <row r="3" spans="1:11" ht="17.25" customHeight="1" x14ac:dyDescent="0.3">
      <c r="A3" s="90"/>
      <c r="B3" s="484"/>
      <c r="C3" s="484"/>
      <c r="D3" s="77"/>
      <c r="E3" s="87"/>
      <c r="F3" s="87"/>
      <c r="G3" s="87"/>
      <c r="H3" s="87"/>
      <c r="I3" s="87"/>
      <c r="J3" s="87"/>
      <c r="K3" s="87" t="s">
        <v>153</v>
      </c>
    </row>
    <row r="4" spans="1:11" s="53" customFormat="1" ht="36" customHeight="1" x14ac:dyDescent="0.3">
      <c r="A4" s="306"/>
      <c r="B4" s="6"/>
      <c r="C4" s="306" t="s">
        <v>190</v>
      </c>
      <c r="D4" s="6" t="s">
        <v>191</v>
      </c>
      <c r="E4" s="6" t="s">
        <v>192</v>
      </c>
      <c r="F4" s="6" t="s">
        <v>193</v>
      </c>
      <c r="G4" s="6" t="s">
        <v>194</v>
      </c>
      <c r="H4" s="6" t="s">
        <v>195</v>
      </c>
      <c r="I4" s="6" t="s">
        <v>197</v>
      </c>
      <c r="J4" s="6" t="s">
        <v>198</v>
      </c>
      <c r="K4" s="6" t="s">
        <v>196</v>
      </c>
    </row>
    <row r="5" spans="1:11" s="100" customFormat="1" ht="12" x14ac:dyDescent="0.3">
      <c r="A5" s="466">
        <v>225</v>
      </c>
      <c r="B5" s="11" t="s">
        <v>6</v>
      </c>
      <c r="C5" s="19">
        <f>SUM(D5:K5)</f>
        <v>104939.12</v>
      </c>
      <c r="D5" s="106">
        <f>D6*D7*(1+D8)</f>
        <v>12600</v>
      </c>
      <c r="E5" s="106">
        <f t="shared" ref="E5:K5" si="0">E6*E7*(1+E8)</f>
        <v>35364.42</v>
      </c>
      <c r="F5" s="106">
        <f t="shared" si="0"/>
        <v>35646</v>
      </c>
      <c r="G5" s="106">
        <f t="shared" si="0"/>
        <v>3500</v>
      </c>
      <c r="H5" s="106">
        <f t="shared" si="0"/>
        <v>4200</v>
      </c>
      <c r="I5" s="106">
        <f t="shared" si="0"/>
        <v>4800</v>
      </c>
      <c r="J5" s="125">
        <f t="shared" si="0"/>
        <v>4200</v>
      </c>
      <c r="K5" s="125">
        <f t="shared" si="0"/>
        <v>4628.7</v>
      </c>
    </row>
    <row r="6" spans="1:11" s="135" customFormat="1" ht="12" x14ac:dyDescent="0.3">
      <c r="A6" s="467"/>
      <c r="B6" s="79" t="s">
        <v>84</v>
      </c>
      <c r="C6" s="79"/>
      <c r="D6" s="68">
        <v>36</v>
      </c>
      <c r="E6" s="68">
        <v>78</v>
      </c>
      <c r="F6" s="69">
        <v>78</v>
      </c>
      <c r="G6" s="68">
        <v>10</v>
      </c>
      <c r="H6" s="68">
        <v>24</v>
      </c>
      <c r="I6" s="68">
        <v>12</v>
      </c>
      <c r="J6" s="68">
        <v>12</v>
      </c>
      <c r="K6" s="68">
        <v>18</v>
      </c>
    </row>
    <row r="7" spans="1:11" s="94" customFormat="1" ht="12" x14ac:dyDescent="0.3">
      <c r="A7" s="467"/>
      <c r="B7" s="54" t="s">
        <v>179</v>
      </c>
      <c r="C7" s="93"/>
      <c r="D7" s="55">
        <v>350</v>
      </c>
      <c r="E7" s="55">
        <v>453.39</v>
      </c>
      <c r="F7" s="56">
        <v>457</v>
      </c>
      <c r="G7" s="55">
        <v>350</v>
      </c>
      <c r="H7" s="55">
        <v>175</v>
      </c>
      <c r="I7" s="55">
        <v>400</v>
      </c>
      <c r="J7" s="55">
        <v>350</v>
      </c>
      <c r="K7" s="55">
        <v>257.14999999999998</v>
      </c>
    </row>
    <row r="8" spans="1:11" s="94" customFormat="1" ht="24" x14ac:dyDescent="0.3">
      <c r="A8" s="467"/>
      <c r="B8" s="54" t="s">
        <v>145</v>
      </c>
      <c r="C8" s="93"/>
      <c r="D8" s="107"/>
      <c r="E8" s="93"/>
      <c r="F8" s="93"/>
      <c r="G8" s="93"/>
      <c r="H8" s="93"/>
      <c r="I8" s="93"/>
      <c r="J8" s="127"/>
      <c r="K8" s="128"/>
    </row>
    <row r="9" spans="1:11" s="102" customFormat="1" ht="12" x14ac:dyDescent="0.3">
      <c r="A9" s="467"/>
      <c r="B9" s="105" t="s">
        <v>7</v>
      </c>
      <c r="C9" s="19">
        <f>SUM(D9:K9)</f>
        <v>47505.592799999999</v>
      </c>
      <c r="D9" s="106">
        <f>D11*(1+D12)</f>
        <v>6886.4327999999996</v>
      </c>
      <c r="E9" s="106">
        <f t="shared" ref="E9:I9" si="1">E11</f>
        <v>5508</v>
      </c>
      <c r="F9" s="106">
        <f t="shared" si="1"/>
        <v>5440.68</v>
      </c>
      <c r="G9" s="106">
        <f t="shared" si="1"/>
        <v>6083.28</v>
      </c>
      <c r="H9" s="106">
        <f t="shared" si="1"/>
        <v>3600</v>
      </c>
      <c r="I9" s="106">
        <f t="shared" si="1"/>
        <v>11568.72</v>
      </c>
      <c r="J9" s="125">
        <f>J11+1.08</f>
        <v>5482.08</v>
      </c>
      <c r="K9" s="125">
        <f>K11+1.08</f>
        <v>2936.4</v>
      </c>
    </row>
    <row r="10" spans="1:11" s="135" customFormat="1" ht="12" x14ac:dyDescent="0.3">
      <c r="A10" s="467"/>
      <c r="B10" s="79" t="s">
        <v>70</v>
      </c>
      <c r="C10" s="79"/>
      <c r="D10" s="68">
        <v>12000</v>
      </c>
      <c r="E10" s="68">
        <v>900</v>
      </c>
      <c r="F10" s="69">
        <v>889</v>
      </c>
      <c r="G10" s="68">
        <v>994</v>
      </c>
      <c r="H10" s="68">
        <v>600</v>
      </c>
      <c r="I10" s="68">
        <v>1900</v>
      </c>
      <c r="J10" s="68">
        <v>900</v>
      </c>
      <c r="K10" s="68">
        <v>460</v>
      </c>
    </row>
    <row r="11" spans="1:11" s="137" customFormat="1" ht="12" x14ac:dyDescent="0.3">
      <c r="A11" s="467"/>
      <c r="B11" s="93" t="s">
        <v>173</v>
      </c>
      <c r="C11" s="93"/>
      <c r="D11" s="55">
        <f>0.5074*D10</f>
        <v>6088.7999999999993</v>
      </c>
      <c r="E11" s="55">
        <f>0.51*E10*12</f>
        <v>5508</v>
      </c>
      <c r="F11" s="56">
        <f>0.51*F10*12</f>
        <v>5440.68</v>
      </c>
      <c r="G11" s="55">
        <f>0.51*G10*12</f>
        <v>6083.28</v>
      </c>
      <c r="H11" s="55">
        <f>6*H10</f>
        <v>3600</v>
      </c>
      <c r="I11" s="55">
        <f>11568.72/1900*I10</f>
        <v>11568.72</v>
      </c>
      <c r="J11" s="55">
        <f>6.09*J10</f>
        <v>5481</v>
      </c>
      <c r="K11" s="55">
        <f>244.61*12</f>
        <v>2935.32</v>
      </c>
    </row>
    <row r="12" spans="1:11" s="94" customFormat="1" ht="24" x14ac:dyDescent="0.3">
      <c r="A12" s="467"/>
      <c r="B12" s="54" t="s">
        <v>145</v>
      </c>
      <c r="C12" s="93"/>
      <c r="D12" s="107">
        <v>0.13100000000000001</v>
      </c>
      <c r="E12" s="93"/>
      <c r="F12" s="93"/>
      <c r="G12" s="93"/>
      <c r="H12" s="93"/>
      <c r="I12" s="93"/>
      <c r="J12" s="127"/>
      <c r="K12" s="128"/>
    </row>
    <row r="13" spans="1:11" s="100" customFormat="1" ht="63.75" customHeight="1" x14ac:dyDescent="0.3">
      <c r="A13" s="467"/>
      <c r="B13" s="11" t="s">
        <v>176</v>
      </c>
      <c r="C13" s="19">
        <f>SUM(D13:K13)</f>
        <v>190225</v>
      </c>
      <c r="D13" s="125">
        <f t="shared" ref="D13:J13" si="2">D16*D15+D14</f>
        <v>15000</v>
      </c>
      <c r="E13" s="125">
        <f t="shared" si="2"/>
        <v>10200</v>
      </c>
      <c r="F13" s="125">
        <f t="shared" si="2"/>
        <v>0</v>
      </c>
      <c r="G13" s="125">
        <f t="shared" si="2"/>
        <v>30000</v>
      </c>
      <c r="H13" s="125">
        <f t="shared" si="2"/>
        <v>25000</v>
      </c>
      <c r="I13" s="125">
        <f t="shared" si="2"/>
        <v>54600</v>
      </c>
      <c r="J13" s="125">
        <f t="shared" si="2"/>
        <v>30000</v>
      </c>
      <c r="K13" s="125">
        <f>K16*K15*(1+K17)+K14</f>
        <v>25425</v>
      </c>
    </row>
    <row r="14" spans="1:11" s="92" customFormat="1" ht="12.75" customHeight="1" x14ac:dyDescent="0.3">
      <c r="A14" s="467"/>
      <c r="B14" s="85" t="s">
        <v>177</v>
      </c>
      <c r="C14" s="141"/>
      <c r="D14" s="91"/>
      <c r="E14" s="91"/>
      <c r="F14" s="91"/>
      <c r="G14" s="91"/>
      <c r="H14" s="91"/>
      <c r="I14" s="91"/>
      <c r="J14" s="142"/>
      <c r="K14" s="142">
        <v>15000</v>
      </c>
    </row>
    <row r="15" spans="1:11" s="135" customFormat="1" ht="12" x14ac:dyDescent="0.3">
      <c r="A15" s="467"/>
      <c r="B15" s="138" t="s">
        <v>67</v>
      </c>
      <c r="C15" s="138"/>
      <c r="D15" s="143">
        <v>1</v>
      </c>
      <c r="E15" s="143">
        <v>2</v>
      </c>
      <c r="F15" s="139"/>
      <c r="G15" s="143">
        <v>12</v>
      </c>
      <c r="H15" s="143">
        <v>1</v>
      </c>
      <c r="I15" s="143">
        <v>12</v>
      </c>
      <c r="J15" s="143">
        <v>12</v>
      </c>
      <c r="K15" s="143">
        <v>1</v>
      </c>
    </row>
    <row r="16" spans="1:11" s="94" customFormat="1" ht="12" x14ac:dyDescent="0.3">
      <c r="A16" s="467"/>
      <c r="B16" s="93" t="s">
        <v>170</v>
      </c>
      <c r="C16" s="93"/>
      <c r="D16" s="55">
        <v>15000</v>
      </c>
      <c r="E16" s="55">
        <v>5100</v>
      </c>
      <c r="F16" s="56"/>
      <c r="G16" s="55">
        <v>2500</v>
      </c>
      <c r="H16" s="55">
        <v>25000</v>
      </c>
      <c r="I16" s="55">
        <f>2000+2550</f>
        <v>4550</v>
      </c>
      <c r="J16" s="55">
        <v>2500</v>
      </c>
      <c r="K16" s="55">
        <v>10425</v>
      </c>
    </row>
    <row r="17" spans="1:11" s="94" customFormat="1" ht="24" x14ac:dyDescent="0.3">
      <c r="A17" s="467"/>
      <c r="B17" s="54" t="s">
        <v>145</v>
      </c>
      <c r="C17" s="93"/>
      <c r="D17" s="107"/>
      <c r="E17" s="93"/>
      <c r="F17" s="93"/>
      <c r="G17" s="93"/>
      <c r="H17" s="93"/>
      <c r="I17" s="93"/>
      <c r="J17" s="127"/>
      <c r="K17" s="128"/>
    </row>
    <row r="18" spans="1:11" s="100" customFormat="1" ht="23.25" customHeight="1" x14ac:dyDescent="0.3">
      <c r="A18" s="467"/>
      <c r="B18" s="11" t="s">
        <v>132</v>
      </c>
      <c r="C18" s="19">
        <f>SUM(D18:K18)</f>
        <v>0</v>
      </c>
      <c r="D18" s="106">
        <f t="shared" ref="D18" si="3">D19*D20</f>
        <v>0</v>
      </c>
      <c r="E18" s="106">
        <f>E19*E20</f>
        <v>0</v>
      </c>
      <c r="F18" s="106">
        <f t="shared" ref="F18:J18" si="4">F19*F20</f>
        <v>0</v>
      </c>
      <c r="G18" s="106">
        <f t="shared" si="4"/>
        <v>0</v>
      </c>
      <c r="H18" s="106">
        <f t="shared" si="4"/>
        <v>0</v>
      </c>
      <c r="I18" s="106">
        <f t="shared" si="4"/>
        <v>0</v>
      </c>
      <c r="J18" s="125">
        <f t="shared" si="4"/>
        <v>0</v>
      </c>
      <c r="K18" s="125">
        <f>K19*K20*(1+K21)</f>
        <v>0</v>
      </c>
    </row>
    <row r="19" spans="1:11" s="135" customFormat="1" ht="12" x14ac:dyDescent="0.3">
      <c r="A19" s="467"/>
      <c r="B19" s="79" t="s">
        <v>109</v>
      </c>
      <c r="C19" s="79"/>
      <c r="D19" s="79"/>
      <c r="E19" s="69"/>
      <c r="F19" s="79"/>
      <c r="G19" s="68"/>
      <c r="H19" s="68"/>
      <c r="I19" s="79"/>
      <c r="J19" s="143"/>
      <c r="K19" s="143"/>
    </row>
    <row r="20" spans="1:11" s="94" customFormat="1" ht="12" x14ac:dyDescent="0.3">
      <c r="A20" s="467"/>
      <c r="B20" s="93" t="s">
        <v>170</v>
      </c>
      <c r="C20" s="93"/>
      <c r="D20" s="54"/>
      <c r="E20" s="56"/>
      <c r="F20" s="54"/>
      <c r="G20" s="55"/>
      <c r="H20" s="55"/>
      <c r="I20" s="93"/>
      <c r="J20" s="144"/>
      <c r="K20" s="144"/>
    </row>
    <row r="21" spans="1:11" s="94" customFormat="1" ht="24" x14ac:dyDescent="0.3">
      <c r="A21" s="467"/>
      <c r="B21" s="54" t="s">
        <v>145</v>
      </c>
      <c r="C21" s="93"/>
      <c r="D21" s="107"/>
      <c r="E21" s="93"/>
      <c r="F21" s="93"/>
      <c r="G21" s="93"/>
      <c r="H21" s="93"/>
      <c r="I21" s="93"/>
      <c r="J21" s="127"/>
      <c r="K21" s="128"/>
    </row>
    <row r="22" spans="1:11" s="100" customFormat="1" ht="41.25" customHeight="1" x14ac:dyDescent="0.3">
      <c r="A22" s="467"/>
      <c r="B22" s="11" t="s">
        <v>178</v>
      </c>
      <c r="C22" s="19">
        <f>SUM(D22:K22)</f>
        <v>33960</v>
      </c>
      <c r="D22" s="125">
        <f t="shared" ref="D22:K22" si="5">D24*D25+D23</f>
        <v>0</v>
      </c>
      <c r="E22" s="125">
        <f t="shared" si="5"/>
        <v>0</v>
      </c>
      <c r="F22" s="125">
        <f t="shared" si="5"/>
        <v>0</v>
      </c>
      <c r="G22" s="125">
        <f t="shared" si="5"/>
        <v>0</v>
      </c>
      <c r="H22" s="125">
        <f t="shared" si="5"/>
        <v>0</v>
      </c>
      <c r="I22" s="125">
        <f t="shared" si="5"/>
        <v>0</v>
      </c>
      <c r="J22" s="125">
        <f t="shared" si="5"/>
        <v>0</v>
      </c>
      <c r="K22" s="125">
        <f t="shared" si="5"/>
        <v>33960</v>
      </c>
    </row>
    <row r="23" spans="1:11" s="92" customFormat="1" ht="18" customHeight="1" x14ac:dyDescent="0.3">
      <c r="A23" s="467"/>
      <c r="B23" s="85" t="s">
        <v>177</v>
      </c>
      <c r="C23" s="141"/>
      <c r="D23" s="91"/>
      <c r="E23" s="91"/>
      <c r="F23" s="91"/>
      <c r="G23" s="91"/>
      <c r="H23" s="91"/>
      <c r="I23" s="91"/>
      <c r="J23" s="142"/>
      <c r="K23" s="142"/>
    </row>
    <row r="24" spans="1:11" s="135" customFormat="1" ht="12" x14ac:dyDescent="0.3">
      <c r="A24" s="467"/>
      <c r="B24" s="79" t="s">
        <v>109</v>
      </c>
      <c r="C24" s="79"/>
      <c r="D24" s="79"/>
      <c r="E24" s="69"/>
      <c r="F24" s="79"/>
      <c r="G24" s="68"/>
      <c r="H24" s="68"/>
      <c r="I24" s="79"/>
      <c r="J24" s="140"/>
      <c r="K24" s="68">
        <v>12</v>
      </c>
    </row>
    <row r="25" spans="1:11" s="94" customFormat="1" ht="12" x14ac:dyDescent="0.3">
      <c r="A25" s="467"/>
      <c r="B25" s="93" t="s">
        <v>170</v>
      </c>
      <c r="C25" s="93"/>
      <c r="D25" s="54"/>
      <c r="E25" s="56"/>
      <c r="F25" s="54"/>
      <c r="G25" s="55"/>
      <c r="H25" s="55"/>
      <c r="I25" s="93"/>
      <c r="J25" s="126"/>
      <c r="K25" s="55">
        <v>2830</v>
      </c>
    </row>
    <row r="26" spans="1:11" s="102" customFormat="1" ht="12" x14ac:dyDescent="0.3">
      <c r="A26" s="467"/>
      <c r="B26" s="105" t="s">
        <v>467</v>
      </c>
      <c r="C26" s="19">
        <f>SUM(D26:K26)</f>
        <v>133891.20000000001</v>
      </c>
      <c r="D26" s="106">
        <f>D27*D28</f>
        <v>14400</v>
      </c>
      <c r="E26" s="106">
        <f>E28*E27</f>
        <v>14400</v>
      </c>
      <c r="F26" s="106">
        <f t="shared" ref="F26:J26" si="6">F28*F27</f>
        <v>14400</v>
      </c>
      <c r="G26" s="106">
        <f t="shared" si="6"/>
        <v>14400</v>
      </c>
      <c r="H26" s="106">
        <f t="shared" si="6"/>
        <v>18000</v>
      </c>
      <c r="I26" s="106">
        <f t="shared" si="6"/>
        <v>28800</v>
      </c>
      <c r="J26" s="125">
        <f t="shared" si="6"/>
        <v>14400</v>
      </c>
      <c r="K26" s="125">
        <f>K28*K27*(1+K29)</f>
        <v>15091.199999999999</v>
      </c>
    </row>
    <row r="27" spans="1:11" s="135" customFormat="1" ht="12" x14ac:dyDescent="0.3">
      <c r="A27" s="467"/>
      <c r="B27" s="79" t="s">
        <v>109</v>
      </c>
      <c r="C27" s="79"/>
      <c r="D27" s="68">
        <v>12</v>
      </c>
      <c r="E27" s="68">
        <v>12</v>
      </c>
      <c r="F27" s="69">
        <v>12</v>
      </c>
      <c r="G27" s="68">
        <v>12</v>
      </c>
      <c r="H27" s="68">
        <v>12</v>
      </c>
      <c r="I27" s="68">
        <v>12</v>
      </c>
      <c r="J27" s="68">
        <v>12</v>
      </c>
      <c r="K27" s="68">
        <v>12</v>
      </c>
    </row>
    <row r="28" spans="1:11" s="137" customFormat="1" ht="12" x14ac:dyDescent="0.3">
      <c r="A28" s="467"/>
      <c r="B28" s="93" t="s">
        <v>170</v>
      </c>
      <c r="C28" s="93"/>
      <c r="D28" s="55">
        <v>1200</v>
      </c>
      <c r="E28" s="55">
        <v>1200</v>
      </c>
      <c r="F28" s="56">
        <v>1200</v>
      </c>
      <c r="G28" s="55">
        <v>1200</v>
      </c>
      <c r="H28" s="55">
        <v>1500</v>
      </c>
      <c r="I28" s="55">
        <f>1200+1200</f>
        <v>2400</v>
      </c>
      <c r="J28" s="55">
        <v>1200</v>
      </c>
      <c r="K28" s="55">
        <v>1257.5999999999999</v>
      </c>
    </row>
    <row r="29" spans="1:11" s="94" customFormat="1" ht="24" x14ac:dyDescent="0.3">
      <c r="A29" s="467"/>
      <c r="B29" s="54" t="s">
        <v>145</v>
      </c>
      <c r="C29" s="93"/>
      <c r="D29" s="107"/>
      <c r="E29" s="93"/>
      <c r="F29" s="93"/>
      <c r="G29" s="93"/>
      <c r="H29" s="93"/>
      <c r="I29" s="93"/>
      <c r="J29" s="127"/>
      <c r="K29" s="128"/>
    </row>
    <row r="30" spans="1:11" s="100" customFormat="1" ht="12" x14ac:dyDescent="0.3">
      <c r="A30" s="467"/>
      <c r="B30" s="11" t="s">
        <v>28</v>
      </c>
      <c r="C30" s="19">
        <f>SUM(D30:K30)</f>
        <v>18460</v>
      </c>
      <c r="D30" s="106">
        <f>D31*D32</f>
        <v>0</v>
      </c>
      <c r="E30" s="106">
        <f>E32*E31</f>
        <v>0</v>
      </c>
      <c r="F30" s="106">
        <f t="shared" ref="F30:J30" si="7">F32*F31</f>
        <v>0</v>
      </c>
      <c r="G30" s="106">
        <f t="shared" si="7"/>
        <v>0</v>
      </c>
      <c r="H30" s="106">
        <f t="shared" si="7"/>
        <v>18460</v>
      </c>
      <c r="I30" s="106">
        <f t="shared" si="7"/>
        <v>0</v>
      </c>
      <c r="J30" s="125">
        <f t="shared" si="7"/>
        <v>0</v>
      </c>
      <c r="K30" s="125">
        <f>K32*K31*(1+K33)</f>
        <v>0</v>
      </c>
    </row>
    <row r="31" spans="1:11" s="135" customFormat="1" ht="12" x14ac:dyDescent="0.3">
      <c r="A31" s="467"/>
      <c r="B31" s="79" t="s">
        <v>67</v>
      </c>
      <c r="C31" s="79"/>
      <c r="D31" s="79"/>
      <c r="E31" s="79"/>
      <c r="F31" s="79"/>
      <c r="G31" s="79"/>
      <c r="H31" s="68">
        <v>2</v>
      </c>
      <c r="I31" s="79"/>
      <c r="J31" s="134"/>
      <c r="K31" s="143"/>
    </row>
    <row r="32" spans="1:11" s="137" customFormat="1" ht="12" x14ac:dyDescent="0.3">
      <c r="A32" s="467"/>
      <c r="B32" s="93" t="s">
        <v>111</v>
      </c>
      <c r="C32" s="93"/>
      <c r="D32" s="93"/>
      <c r="E32" s="93"/>
      <c r="F32" s="93"/>
      <c r="G32" s="93"/>
      <c r="H32" s="55">
        <v>9230</v>
      </c>
      <c r="I32" s="93"/>
      <c r="J32" s="136"/>
      <c r="K32" s="144"/>
    </row>
    <row r="33" spans="1:11" s="94" customFormat="1" ht="24" x14ac:dyDescent="0.3">
      <c r="A33" s="467"/>
      <c r="B33" s="54" t="s">
        <v>145</v>
      </c>
      <c r="C33" s="93"/>
      <c r="D33" s="107"/>
      <c r="E33" s="93"/>
      <c r="F33" s="93"/>
      <c r="G33" s="93"/>
      <c r="H33" s="93"/>
      <c r="I33" s="93"/>
      <c r="J33" s="127"/>
      <c r="K33" s="128"/>
    </row>
    <row r="34" spans="1:11" s="102" customFormat="1" ht="22.8" x14ac:dyDescent="0.3">
      <c r="A34" s="467"/>
      <c r="B34" s="105" t="s">
        <v>183</v>
      </c>
      <c r="C34" s="19">
        <f>SUM(D34:K34)</f>
        <v>189600</v>
      </c>
      <c r="D34" s="106">
        <f>D35*D36</f>
        <v>12000</v>
      </c>
      <c r="E34" s="106">
        <f t="shared" ref="E34:K34" si="8">E35*E36</f>
        <v>7200</v>
      </c>
      <c r="F34" s="106">
        <f t="shared" si="8"/>
        <v>0</v>
      </c>
      <c r="G34" s="106">
        <f t="shared" si="8"/>
        <v>12000</v>
      </c>
      <c r="H34" s="106">
        <f t="shared" si="8"/>
        <v>144000</v>
      </c>
      <c r="I34" s="106">
        <f t="shared" si="8"/>
        <v>7200</v>
      </c>
      <c r="J34" s="106">
        <f t="shared" si="8"/>
        <v>0</v>
      </c>
      <c r="K34" s="106">
        <f t="shared" si="8"/>
        <v>7200</v>
      </c>
    </row>
    <row r="35" spans="1:11" s="135" customFormat="1" ht="12" x14ac:dyDescent="0.3">
      <c r="A35" s="467"/>
      <c r="B35" s="79" t="s">
        <v>109</v>
      </c>
      <c r="C35" s="79"/>
      <c r="D35" s="68">
        <v>12</v>
      </c>
      <c r="E35" s="68">
        <v>12</v>
      </c>
      <c r="F35" s="69"/>
      <c r="G35" s="68">
        <v>12</v>
      </c>
      <c r="H35" s="68">
        <v>12</v>
      </c>
      <c r="I35" s="68">
        <v>12</v>
      </c>
      <c r="J35" s="140"/>
      <c r="K35" s="68">
        <v>12</v>
      </c>
    </row>
    <row r="36" spans="1:11" s="137" customFormat="1" ht="12" x14ac:dyDescent="0.3">
      <c r="A36" s="467"/>
      <c r="B36" s="93" t="s">
        <v>170</v>
      </c>
      <c r="C36" s="93"/>
      <c r="D36" s="55">
        <v>1000</v>
      </c>
      <c r="E36" s="55">
        <v>600</v>
      </c>
      <c r="F36" s="56"/>
      <c r="G36" s="55">
        <v>1000</v>
      </c>
      <c r="H36" s="55">
        <v>12000</v>
      </c>
      <c r="I36" s="55">
        <v>600</v>
      </c>
      <c r="J36" s="127"/>
      <c r="K36" s="55">
        <v>600</v>
      </c>
    </row>
    <row r="37" spans="1:11" s="102" customFormat="1" ht="12" x14ac:dyDescent="0.3">
      <c r="A37" s="467"/>
      <c r="B37" s="105" t="s">
        <v>103</v>
      </c>
      <c r="C37" s="19">
        <f>SUM(D37:K37)</f>
        <v>264835.20000000001</v>
      </c>
      <c r="D37" s="106">
        <f>D38*D39</f>
        <v>31944</v>
      </c>
      <c r="E37" s="106">
        <f>E38*E39</f>
        <v>25200</v>
      </c>
      <c r="F37" s="106">
        <f t="shared" ref="F37:J37" si="9">F38*F39</f>
        <v>36000</v>
      </c>
      <c r="G37" s="106">
        <f t="shared" si="9"/>
        <v>36000</v>
      </c>
      <c r="H37" s="106">
        <f t="shared" si="9"/>
        <v>31800</v>
      </c>
      <c r="I37" s="106">
        <f t="shared" si="9"/>
        <v>58800</v>
      </c>
      <c r="J37" s="125">
        <f t="shared" si="9"/>
        <v>30000</v>
      </c>
      <c r="K37" s="125">
        <f>K38*K39*(1+K40)</f>
        <v>15091.199999999999</v>
      </c>
    </row>
    <row r="38" spans="1:11" s="135" customFormat="1" ht="12" x14ac:dyDescent="0.3">
      <c r="A38" s="467"/>
      <c r="B38" s="79" t="s">
        <v>109</v>
      </c>
      <c r="C38" s="79"/>
      <c r="D38" s="68">
        <v>12</v>
      </c>
      <c r="E38" s="68">
        <v>12</v>
      </c>
      <c r="F38" s="69">
        <v>12</v>
      </c>
      <c r="G38" s="68">
        <v>12</v>
      </c>
      <c r="H38" s="68">
        <v>12</v>
      </c>
      <c r="I38" s="68">
        <v>12</v>
      </c>
      <c r="J38" s="68">
        <v>12</v>
      </c>
      <c r="K38" s="68">
        <v>12</v>
      </c>
    </row>
    <row r="39" spans="1:11" s="137" customFormat="1" ht="12" x14ac:dyDescent="0.3">
      <c r="A39" s="467"/>
      <c r="B39" s="93" t="s">
        <v>170</v>
      </c>
      <c r="C39" s="93"/>
      <c r="D39" s="55">
        <v>2662</v>
      </c>
      <c r="E39" s="55">
        <v>2100</v>
      </c>
      <c r="F39" s="56">
        <v>3000</v>
      </c>
      <c r="G39" s="55">
        <v>3000</v>
      </c>
      <c r="H39" s="55">
        <v>2650</v>
      </c>
      <c r="I39" s="55">
        <f>2350+2550</f>
        <v>4900</v>
      </c>
      <c r="J39" s="55">
        <v>2500</v>
      </c>
      <c r="K39" s="55">
        <v>1257.5999999999999</v>
      </c>
    </row>
    <row r="40" spans="1:11" s="94" customFormat="1" ht="24" x14ac:dyDescent="0.3">
      <c r="A40" s="467"/>
      <c r="B40" s="54" t="s">
        <v>145</v>
      </c>
      <c r="C40" s="93"/>
      <c r="D40" s="107"/>
      <c r="E40" s="93"/>
      <c r="F40" s="93"/>
      <c r="G40" s="93"/>
      <c r="H40" s="93"/>
      <c r="I40" s="93"/>
      <c r="J40" s="127"/>
      <c r="K40" s="128"/>
    </row>
    <row r="41" spans="1:11" s="100" customFormat="1" ht="23.25" customHeight="1" x14ac:dyDescent="0.3">
      <c r="A41" s="467"/>
      <c r="B41" s="11" t="s">
        <v>468</v>
      </c>
      <c r="C41" s="19">
        <f>SUM(D41:K41)</f>
        <v>66480</v>
      </c>
      <c r="D41" s="106">
        <f t="shared" ref="D41" si="10">D42*D43</f>
        <v>0</v>
      </c>
      <c r="E41" s="106">
        <f>E42*E43</f>
        <v>6000</v>
      </c>
      <c r="F41" s="106">
        <f t="shared" ref="F41:J41" si="11">F42*F43</f>
        <v>6000</v>
      </c>
      <c r="G41" s="106">
        <f t="shared" si="11"/>
        <v>29280</v>
      </c>
      <c r="H41" s="106">
        <f t="shared" si="11"/>
        <v>7200</v>
      </c>
      <c r="I41" s="106">
        <f t="shared" si="11"/>
        <v>6000</v>
      </c>
      <c r="J41" s="125">
        <f t="shared" si="11"/>
        <v>6000</v>
      </c>
      <c r="K41" s="125">
        <f>K42*K43*(1+K44)</f>
        <v>6000</v>
      </c>
    </row>
    <row r="42" spans="1:11" s="135" customFormat="1" ht="12" x14ac:dyDescent="0.3">
      <c r="A42" s="467"/>
      <c r="B42" s="79" t="s">
        <v>109</v>
      </c>
      <c r="C42" s="79"/>
      <c r="D42" s="79"/>
      <c r="E42" s="68">
        <v>12</v>
      </c>
      <c r="F42" s="69">
        <v>12</v>
      </c>
      <c r="G42" s="68">
        <v>12</v>
      </c>
      <c r="H42" s="68">
        <v>12</v>
      </c>
      <c r="I42" s="68">
        <v>12</v>
      </c>
      <c r="J42" s="68">
        <v>12</v>
      </c>
      <c r="K42" s="68">
        <v>12</v>
      </c>
    </row>
    <row r="43" spans="1:11" s="94" customFormat="1" ht="12" x14ac:dyDescent="0.3">
      <c r="A43" s="467"/>
      <c r="B43" s="93" t="s">
        <v>170</v>
      </c>
      <c r="C43" s="93"/>
      <c r="D43" s="54"/>
      <c r="E43" s="55">
        <v>500</v>
      </c>
      <c r="F43" s="56">
        <v>500</v>
      </c>
      <c r="G43" s="55">
        <v>2440</v>
      </c>
      <c r="H43" s="55">
        <v>600</v>
      </c>
      <c r="I43" s="55">
        <v>500</v>
      </c>
      <c r="J43" s="55">
        <v>500</v>
      </c>
      <c r="K43" s="55">
        <v>500</v>
      </c>
    </row>
    <row r="44" spans="1:11" s="94" customFormat="1" ht="24" x14ac:dyDescent="0.3">
      <c r="A44" s="467"/>
      <c r="B44" s="54" t="s">
        <v>145</v>
      </c>
      <c r="C44" s="93"/>
      <c r="D44" s="107"/>
      <c r="E44" s="93"/>
      <c r="F44" s="93"/>
      <c r="G44" s="93"/>
      <c r="H44" s="93"/>
      <c r="I44" s="93"/>
      <c r="J44" s="127"/>
      <c r="K44" s="128"/>
    </row>
    <row r="45" spans="1:11" s="266" customFormat="1" ht="12" x14ac:dyDescent="0.3">
      <c r="A45" s="467"/>
      <c r="B45" s="265" t="s">
        <v>469</v>
      </c>
      <c r="C45" s="19">
        <f t="shared" ref="C45:C46" si="12">SUM(D45:K45)</f>
        <v>406000</v>
      </c>
      <c r="D45" s="267">
        <v>80000</v>
      </c>
      <c r="E45" s="267">
        <v>70000</v>
      </c>
      <c r="F45" s="267">
        <v>100000</v>
      </c>
      <c r="G45" s="267">
        <v>100000</v>
      </c>
      <c r="H45" s="267"/>
      <c r="I45" s="267">
        <v>56000</v>
      </c>
      <c r="J45" s="268"/>
      <c r="K45" s="268"/>
    </row>
    <row r="46" spans="1:11" s="120" customFormat="1" ht="12" x14ac:dyDescent="0.3">
      <c r="A46" s="467"/>
      <c r="B46" s="273" t="s">
        <v>46</v>
      </c>
      <c r="C46" s="50">
        <f t="shared" si="12"/>
        <v>93000</v>
      </c>
      <c r="D46" s="110"/>
      <c r="E46" s="110">
        <v>45000</v>
      </c>
      <c r="F46" s="110"/>
      <c r="G46" s="110"/>
      <c r="H46" s="110">
        <v>18000</v>
      </c>
      <c r="I46" s="110"/>
      <c r="J46" s="131"/>
      <c r="K46" s="131">
        <v>30000</v>
      </c>
    </row>
    <row r="47" spans="1:11" s="100" customFormat="1" ht="12" x14ac:dyDescent="0.3">
      <c r="A47" s="467"/>
      <c r="B47" s="11" t="s">
        <v>102</v>
      </c>
      <c r="C47" s="19">
        <f>SUM(D47:K47)</f>
        <v>612500</v>
      </c>
      <c r="D47" s="269">
        <f>D48*D49*D50*(1+D54)-10</f>
        <v>38000</v>
      </c>
      <c r="E47" s="158">
        <f>E48*E49*E50*(1+E54)+E51*E52*E53*(1+E54)</f>
        <v>157000</v>
      </c>
      <c r="F47" s="158">
        <f t="shared" ref="F47:K47" si="13">F48*F49*F50*(1+F54)+F51*F52*F53*(1+F54)</f>
        <v>150000</v>
      </c>
      <c r="G47" s="158">
        <f t="shared" si="13"/>
        <v>114000</v>
      </c>
      <c r="H47" s="158">
        <f t="shared" si="13"/>
        <v>60000</v>
      </c>
      <c r="I47" s="158">
        <f t="shared" si="13"/>
        <v>60000</v>
      </c>
      <c r="J47" s="158">
        <f t="shared" si="13"/>
        <v>20000</v>
      </c>
      <c r="K47" s="158">
        <f t="shared" si="13"/>
        <v>13500</v>
      </c>
    </row>
    <row r="48" spans="1:11" s="135" customFormat="1" ht="12" x14ac:dyDescent="0.3">
      <c r="A48" s="467"/>
      <c r="B48" s="79" t="s">
        <v>67</v>
      </c>
      <c r="C48" s="79"/>
      <c r="D48" s="68">
        <v>5</v>
      </c>
      <c r="E48" s="68">
        <v>7</v>
      </c>
      <c r="F48" s="69">
        <v>7</v>
      </c>
      <c r="G48" s="68">
        <v>6</v>
      </c>
      <c r="H48" s="68">
        <v>8</v>
      </c>
      <c r="I48" s="68">
        <v>6</v>
      </c>
      <c r="J48" s="68">
        <v>4</v>
      </c>
      <c r="K48" s="68">
        <v>2</v>
      </c>
    </row>
    <row r="49" spans="1:11" s="94" customFormat="1" ht="12" x14ac:dyDescent="0.3">
      <c r="A49" s="467"/>
      <c r="B49" s="54" t="s">
        <v>69</v>
      </c>
      <c r="C49" s="93"/>
      <c r="D49" s="55">
        <v>1</v>
      </c>
      <c r="E49" s="55">
        <v>2</v>
      </c>
      <c r="F49" s="56">
        <v>2</v>
      </c>
      <c r="G49" s="55">
        <v>2</v>
      </c>
      <c r="H49" s="55">
        <v>2</v>
      </c>
      <c r="I49" s="55">
        <v>1</v>
      </c>
      <c r="J49" s="55">
        <v>1</v>
      </c>
      <c r="K49" s="55">
        <v>1</v>
      </c>
    </row>
    <row r="50" spans="1:11" s="94" customFormat="1" ht="12" x14ac:dyDescent="0.3">
      <c r="A50" s="467"/>
      <c r="B50" s="93" t="s">
        <v>170</v>
      </c>
      <c r="C50" s="93"/>
      <c r="D50" s="55">
        <v>6000</v>
      </c>
      <c r="E50" s="55">
        <v>5500</v>
      </c>
      <c r="F50" s="56">
        <v>5000</v>
      </c>
      <c r="G50" s="55">
        <v>5500</v>
      </c>
      <c r="H50" s="55">
        <v>3750</v>
      </c>
      <c r="I50" s="55">
        <v>10000</v>
      </c>
      <c r="J50" s="126">
        <v>5000</v>
      </c>
      <c r="K50" s="55">
        <v>6750</v>
      </c>
    </row>
    <row r="51" spans="1:11" s="135" customFormat="1" ht="12" x14ac:dyDescent="0.3">
      <c r="A51" s="467"/>
      <c r="B51" s="79" t="s">
        <v>67</v>
      </c>
      <c r="C51" s="79"/>
      <c r="D51" s="68"/>
      <c r="E51" s="68">
        <v>4</v>
      </c>
      <c r="F51" s="69">
        <v>4</v>
      </c>
      <c r="G51" s="68">
        <v>3</v>
      </c>
      <c r="H51" s="79"/>
      <c r="I51" s="79"/>
      <c r="J51" s="140"/>
      <c r="K51" s="140"/>
    </row>
    <row r="52" spans="1:11" s="94" customFormat="1" ht="12" x14ac:dyDescent="0.3">
      <c r="A52" s="467"/>
      <c r="B52" s="54" t="s">
        <v>69</v>
      </c>
      <c r="C52" s="93"/>
      <c r="D52" s="55"/>
      <c r="E52" s="55">
        <v>2</v>
      </c>
      <c r="F52" s="56">
        <v>2</v>
      </c>
      <c r="G52" s="57">
        <v>2</v>
      </c>
      <c r="H52" s="54"/>
      <c r="I52" s="54"/>
      <c r="J52" s="126"/>
      <c r="K52" s="126"/>
    </row>
    <row r="53" spans="1:11" s="94" customFormat="1" ht="12" x14ac:dyDescent="0.3">
      <c r="A53" s="467"/>
      <c r="B53" s="93" t="s">
        <v>170</v>
      </c>
      <c r="C53" s="93"/>
      <c r="D53" s="55"/>
      <c r="E53" s="55">
        <v>10000</v>
      </c>
      <c r="F53" s="56">
        <v>10000</v>
      </c>
      <c r="G53" s="57">
        <v>8000</v>
      </c>
      <c r="H53" s="54"/>
      <c r="I53" s="54"/>
      <c r="J53" s="126"/>
      <c r="K53" s="126"/>
    </row>
    <row r="54" spans="1:11" s="94" customFormat="1" ht="24" x14ac:dyDescent="0.3">
      <c r="A54" s="467"/>
      <c r="B54" s="54" t="s">
        <v>145</v>
      </c>
      <c r="C54" s="93"/>
      <c r="D54" s="128">
        <v>0.26700000000000002</v>
      </c>
      <c r="E54" s="93"/>
      <c r="F54" s="93"/>
      <c r="G54" s="93"/>
      <c r="H54" s="93"/>
      <c r="I54" s="93"/>
      <c r="J54" s="127"/>
      <c r="K54" s="128"/>
    </row>
    <row r="55" spans="1:11" s="100" customFormat="1" ht="12" x14ac:dyDescent="0.3">
      <c r="A55" s="467"/>
      <c r="B55" s="11" t="s">
        <v>31</v>
      </c>
      <c r="C55" s="19">
        <f>SUM(D55:K55)</f>
        <v>21460</v>
      </c>
      <c r="D55" s="158">
        <f>D56*D57*(1+D58)</f>
        <v>1960</v>
      </c>
      <c r="E55" s="158">
        <f t="shared" ref="E55:K55" si="14">E56*E57*(1+E58)</f>
        <v>3920</v>
      </c>
      <c r="F55" s="158">
        <f t="shared" si="14"/>
        <v>0</v>
      </c>
      <c r="G55" s="158">
        <f t="shared" si="14"/>
        <v>3920</v>
      </c>
      <c r="H55" s="158">
        <f t="shared" si="14"/>
        <v>6000</v>
      </c>
      <c r="I55" s="158">
        <f t="shared" si="14"/>
        <v>1920</v>
      </c>
      <c r="J55" s="158">
        <f t="shared" si="14"/>
        <v>1960</v>
      </c>
      <c r="K55" s="158">
        <f t="shared" si="14"/>
        <v>1780</v>
      </c>
    </row>
    <row r="56" spans="1:11" s="135" customFormat="1" ht="12" x14ac:dyDescent="0.3">
      <c r="A56" s="467"/>
      <c r="B56" s="79" t="s">
        <v>109</v>
      </c>
      <c r="C56" s="79"/>
      <c r="D56" s="68">
        <v>2</v>
      </c>
      <c r="E56" s="68">
        <v>4</v>
      </c>
      <c r="F56" s="79"/>
      <c r="G56" s="68">
        <v>4</v>
      </c>
      <c r="H56" s="68">
        <v>2</v>
      </c>
      <c r="I56" s="68">
        <v>2</v>
      </c>
      <c r="J56" s="68">
        <v>2</v>
      </c>
      <c r="K56" s="68">
        <v>2</v>
      </c>
    </row>
    <row r="57" spans="1:11" s="94" customFormat="1" ht="12" x14ac:dyDescent="0.3">
      <c r="A57" s="467"/>
      <c r="B57" s="93" t="s">
        <v>170</v>
      </c>
      <c r="C57" s="93"/>
      <c r="D57" s="55">
        <v>980</v>
      </c>
      <c r="E57" s="55">
        <v>980</v>
      </c>
      <c r="F57" s="54"/>
      <c r="G57" s="55">
        <v>980</v>
      </c>
      <c r="H57" s="55">
        <v>3000</v>
      </c>
      <c r="I57" s="55">
        <v>960</v>
      </c>
      <c r="J57" s="55">
        <v>980</v>
      </c>
      <c r="K57" s="55">
        <v>890</v>
      </c>
    </row>
    <row r="58" spans="1:11" s="94" customFormat="1" ht="24" x14ac:dyDescent="0.3">
      <c r="A58" s="467"/>
      <c r="B58" s="54" t="s">
        <v>145</v>
      </c>
      <c r="C58" s="93"/>
      <c r="D58" s="107"/>
      <c r="E58" s="93"/>
      <c r="F58" s="93"/>
      <c r="G58" s="93"/>
      <c r="H58" s="93"/>
      <c r="I58" s="93"/>
      <c r="J58" s="127"/>
      <c r="K58" s="128"/>
    </row>
    <row r="59" spans="1:11" s="100" customFormat="1" ht="12" x14ac:dyDescent="0.3">
      <c r="A59" s="467"/>
      <c r="B59" s="11" t="s">
        <v>470</v>
      </c>
      <c r="C59" s="19">
        <f>SUM(D59:K59)</f>
        <v>80760</v>
      </c>
      <c r="D59" s="158">
        <f>D60*D61*(1+D62)</f>
        <v>12000</v>
      </c>
      <c r="E59" s="158">
        <f t="shared" ref="E59:K59" si="15">E60*E61*(1+E62)</f>
        <v>12000</v>
      </c>
      <c r="F59" s="158">
        <f t="shared" si="15"/>
        <v>12000</v>
      </c>
      <c r="G59" s="158">
        <f t="shared" si="15"/>
        <v>12000</v>
      </c>
      <c r="H59" s="158">
        <f t="shared" si="15"/>
        <v>14400</v>
      </c>
      <c r="I59" s="158">
        <f t="shared" si="15"/>
        <v>6000</v>
      </c>
      <c r="J59" s="158">
        <f t="shared" si="15"/>
        <v>6000</v>
      </c>
      <c r="K59" s="158">
        <f t="shared" si="15"/>
        <v>6360</v>
      </c>
    </row>
    <row r="60" spans="1:11" s="135" customFormat="1" ht="12" x14ac:dyDescent="0.3">
      <c r="A60" s="467"/>
      <c r="B60" s="79" t="s">
        <v>109</v>
      </c>
      <c r="C60" s="79"/>
      <c r="D60" s="68">
        <v>12</v>
      </c>
      <c r="E60" s="68">
        <v>12</v>
      </c>
      <c r="F60" s="69">
        <v>12</v>
      </c>
      <c r="G60" s="68">
        <v>12</v>
      </c>
      <c r="H60" s="68">
        <v>12</v>
      </c>
      <c r="I60" s="68">
        <v>12</v>
      </c>
      <c r="J60" s="68">
        <v>12</v>
      </c>
      <c r="K60" s="68">
        <v>12</v>
      </c>
    </row>
    <row r="61" spans="1:11" s="94" customFormat="1" ht="12" x14ac:dyDescent="0.3">
      <c r="A61" s="467"/>
      <c r="B61" s="93" t="s">
        <v>170</v>
      </c>
      <c r="C61" s="93"/>
      <c r="D61" s="55">
        <v>1000</v>
      </c>
      <c r="E61" s="55">
        <v>1000</v>
      </c>
      <c r="F61" s="56">
        <v>1000</v>
      </c>
      <c r="G61" s="55">
        <v>1000</v>
      </c>
      <c r="H61" s="55">
        <v>1200</v>
      </c>
      <c r="I61" s="55">
        <v>500</v>
      </c>
      <c r="J61" s="55">
        <v>500</v>
      </c>
      <c r="K61" s="55">
        <v>530</v>
      </c>
    </row>
    <row r="62" spans="1:11" s="94" customFormat="1" ht="24" x14ac:dyDescent="0.3">
      <c r="A62" s="467"/>
      <c r="B62" s="54" t="s">
        <v>145</v>
      </c>
      <c r="C62" s="93"/>
      <c r="D62" s="107"/>
      <c r="E62" s="93"/>
      <c r="F62" s="93"/>
      <c r="G62" s="93"/>
      <c r="H62" s="93"/>
      <c r="I62" s="93"/>
      <c r="J62" s="127"/>
      <c r="K62" s="128"/>
    </row>
    <row r="63" spans="1:11" s="100" customFormat="1" ht="12" x14ac:dyDescent="0.3">
      <c r="A63" s="467"/>
      <c r="B63" s="11" t="s">
        <v>49</v>
      </c>
      <c r="C63" s="19">
        <f>SUM(D63:K63)</f>
        <v>169860</v>
      </c>
      <c r="D63" s="106">
        <f>D64*D65*D66*(1+D67)</f>
        <v>20000</v>
      </c>
      <c r="E63" s="106">
        <f t="shared" ref="E63:K63" si="16">E64*E65*E66*(1+E67)</f>
        <v>0</v>
      </c>
      <c r="F63" s="106">
        <f t="shared" si="16"/>
        <v>36000</v>
      </c>
      <c r="G63" s="106">
        <f t="shared" si="16"/>
        <v>36000</v>
      </c>
      <c r="H63" s="106">
        <f t="shared" si="16"/>
        <v>45760</v>
      </c>
      <c r="I63" s="106">
        <f t="shared" si="16"/>
        <v>15000</v>
      </c>
      <c r="J63" s="106">
        <f t="shared" si="16"/>
        <v>0</v>
      </c>
      <c r="K63" s="106">
        <f t="shared" si="16"/>
        <v>17100</v>
      </c>
    </row>
    <row r="64" spans="1:11" s="135" customFormat="1" ht="12" x14ac:dyDescent="0.3">
      <c r="A64" s="467"/>
      <c r="B64" s="138" t="s">
        <v>67</v>
      </c>
      <c r="C64" s="79"/>
      <c r="D64" s="79">
        <v>2</v>
      </c>
      <c r="E64" s="79"/>
      <c r="F64" s="69">
        <v>12</v>
      </c>
      <c r="G64" s="143">
        <v>12</v>
      </c>
      <c r="H64" s="68">
        <v>286</v>
      </c>
      <c r="I64" s="68">
        <v>10</v>
      </c>
      <c r="J64" s="140"/>
      <c r="K64" s="68">
        <v>225</v>
      </c>
    </row>
    <row r="65" spans="1:11" s="94" customFormat="1" ht="12" x14ac:dyDescent="0.3">
      <c r="A65" s="467"/>
      <c r="B65" s="85" t="s">
        <v>175</v>
      </c>
      <c r="C65" s="93"/>
      <c r="D65" s="54">
        <v>1</v>
      </c>
      <c r="E65" s="54"/>
      <c r="F65" s="56">
        <v>2</v>
      </c>
      <c r="G65" s="144">
        <v>2</v>
      </c>
      <c r="H65" s="55">
        <v>2</v>
      </c>
      <c r="I65" s="55">
        <v>1</v>
      </c>
      <c r="J65" s="126"/>
      <c r="K65" s="55">
        <v>1</v>
      </c>
    </row>
    <row r="66" spans="1:11" s="94" customFormat="1" ht="12" x14ac:dyDescent="0.3">
      <c r="A66" s="467"/>
      <c r="B66" s="93" t="s">
        <v>170</v>
      </c>
      <c r="C66" s="93"/>
      <c r="D66" s="54">
        <v>10000</v>
      </c>
      <c r="E66" s="54"/>
      <c r="F66" s="56">
        <v>1500</v>
      </c>
      <c r="G66" s="144">
        <v>1500</v>
      </c>
      <c r="H66" s="55">
        <v>80</v>
      </c>
      <c r="I66" s="55">
        <v>1500</v>
      </c>
      <c r="J66" s="126"/>
      <c r="K66" s="55">
        <f>38*2</f>
        <v>76</v>
      </c>
    </row>
    <row r="67" spans="1:11" s="94" customFormat="1" ht="24" x14ac:dyDescent="0.3">
      <c r="A67" s="467"/>
      <c r="B67" s="54" t="s">
        <v>145</v>
      </c>
      <c r="C67" s="93"/>
      <c r="D67" s="107"/>
      <c r="E67" s="93"/>
      <c r="F67" s="93"/>
      <c r="G67" s="93"/>
      <c r="H67" s="93"/>
      <c r="I67" s="93"/>
      <c r="J67" s="127"/>
      <c r="K67" s="128"/>
    </row>
    <row r="68" spans="1:11" s="100" customFormat="1" ht="34.200000000000003" x14ac:dyDescent="0.3">
      <c r="A68" s="467"/>
      <c r="B68" s="11" t="s">
        <v>509</v>
      </c>
      <c r="C68" s="19">
        <f>SUM(D68:K68)</f>
        <v>0</v>
      </c>
      <c r="D68" s="18"/>
      <c r="E68" s="18"/>
      <c r="F68" s="18"/>
      <c r="G68" s="18"/>
      <c r="H68" s="18"/>
      <c r="I68" s="18"/>
      <c r="J68" s="129"/>
      <c r="K68" s="129"/>
    </row>
    <row r="69" spans="1:11" s="94" customFormat="1" ht="12" x14ac:dyDescent="0.3">
      <c r="A69" s="467"/>
      <c r="B69" s="54" t="s">
        <v>67</v>
      </c>
      <c r="C69" s="93"/>
      <c r="D69" s="54"/>
      <c r="E69" s="54"/>
      <c r="F69" s="54"/>
      <c r="G69" s="54"/>
      <c r="H69" s="54"/>
      <c r="I69" s="54"/>
      <c r="J69" s="126"/>
      <c r="K69" s="126"/>
    </row>
    <row r="70" spans="1:11" s="94" customFormat="1" ht="12" x14ac:dyDescent="0.3">
      <c r="A70" s="467"/>
      <c r="B70" s="54" t="s">
        <v>175</v>
      </c>
      <c r="C70" s="93"/>
      <c r="D70" s="54"/>
      <c r="E70" s="54"/>
      <c r="F70" s="54"/>
      <c r="G70" s="54"/>
      <c r="H70" s="54"/>
      <c r="I70" s="54"/>
      <c r="J70" s="126"/>
      <c r="K70" s="126"/>
    </row>
    <row r="71" spans="1:11" s="94" customFormat="1" ht="12" x14ac:dyDescent="0.3">
      <c r="A71" s="467"/>
      <c r="B71" s="54" t="s">
        <v>174</v>
      </c>
      <c r="C71" s="93"/>
      <c r="D71" s="54"/>
      <c r="E71" s="54"/>
      <c r="F71" s="54"/>
      <c r="G71" s="54"/>
      <c r="H71" s="54"/>
      <c r="I71" s="54"/>
      <c r="J71" s="126"/>
      <c r="K71" s="126"/>
    </row>
    <row r="72" spans="1:11" s="100" customFormat="1" ht="34.200000000000003" x14ac:dyDescent="0.3">
      <c r="A72" s="467"/>
      <c r="B72" s="11" t="s">
        <v>207</v>
      </c>
      <c r="C72" s="19">
        <f>SUM(D72:K72)</f>
        <v>54000</v>
      </c>
      <c r="D72" s="106">
        <f>D73*D74*(1+D75)</f>
        <v>0</v>
      </c>
      <c r="E72" s="106">
        <f t="shared" ref="E72:K72" si="17">E73*E74*(1+E75)</f>
        <v>36000</v>
      </c>
      <c r="F72" s="106">
        <f t="shared" si="17"/>
        <v>0</v>
      </c>
      <c r="G72" s="106">
        <f t="shared" si="17"/>
        <v>0</v>
      </c>
      <c r="H72" s="106">
        <f t="shared" si="17"/>
        <v>0</v>
      </c>
      <c r="I72" s="106">
        <f t="shared" si="17"/>
        <v>0</v>
      </c>
      <c r="J72" s="106">
        <f t="shared" si="17"/>
        <v>18000</v>
      </c>
      <c r="K72" s="106">
        <f t="shared" si="17"/>
        <v>0</v>
      </c>
    </row>
    <row r="73" spans="1:11" s="135" customFormat="1" ht="12" x14ac:dyDescent="0.3">
      <c r="A73" s="467"/>
      <c r="B73" s="79" t="s">
        <v>109</v>
      </c>
      <c r="C73" s="79"/>
      <c r="D73" s="68"/>
      <c r="E73" s="68">
        <v>12</v>
      </c>
      <c r="F73" s="79"/>
      <c r="G73" s="79"/>
      <c r="H73" s="79"/>
      <c r="I73" s="79"/>
      <c r="J73" s="68">
        <v>12</v>
      </c>
      <c r="K73" s="140"/>
    </row>
    <row r="74" spans="1:11" s="94" customFormat="1" ht="12" x14ac:dyDescent="0.3">
      <c r="A74" s="467"/>
      <c r="B74" s="54" t="s">
        <v>110</v>
      </c>
      <c r="C74" s="54"/>
      <c r="D74" s="55"/>
      <c r="E74" s="55">
        <f>1500*2</f>
        <v>3000</v>
      </c>
      <c r="F74" s="54"/>
      <c r="G74" s="54"/>
      <c r="H74" s="54"/>
      <c r="I74" s="54"/>
      <c r="J74" s="55">
        <v>1500</v>
      </c>
      <c r="K74" s="126"/>
    </row>
    <row r="75" spans="1:11" s="94" customFormat="1" ht="24" x14ac:dyDescent="0.3">
      <c r="A75" s="467"/>
      <c r="B75" s="54" t="s">
        <v>145</v>
      </c>
      <c r="C75" s="93"/>
      <c r="D75" s="107"/>
      <c r="E75" s="93"/>
      <c r="F75" s="93"/>
      <c r="G75" s="93"/>
      <c r="H75" s="93"/>
      <c r="I75" s="93"/>
      <c r="J75" s="127"/>
      <c r="K75" s="128"/>
    </row>
    <row r="76" spans="1:11" s="100" customFormat="1" ht="21" customHeight="1" x14ac:dyDescent="0.3">
      <c r="A76" s="467"/>
      <c r="B76" s="11" t="s">
        <v>33</v>
      </c>
      <c r="C76" s="19">
        <f>SUM(D76:K76)</f>
        <v>50001.78</v>
      </c>
      <c r="D76" s="106"/>
      <c r="E76" s="106">
        <v>10000</v>
      </c>
      <c r="F76" s="106">
        <v>7000</v>
      </c>
      <c r="G76" s="106">
        <v>5000.8900000000003</v>
      </c>
      <c r="H76" s="106">
        <v>23000</v>
      </c>
      <c r="I76" s="106"/>
      <c r="J76" s="125">
        <v>5000.8900000000003</v>
      </c>
      <c r="K76" s="19"/>
    </row>
    <row r="77" spans="1:11" s="113" customFormat="1" ht="12" x14ac:dyDescent="0.3">
      <c r="A77" s="467"/>
      <c r="B77" s="25" t="s">
        <v>43</v>
      </c>
      <c r="C77" s="50">
        <f>SUM(D77:K77)</f>
        <v>12870</v>
      </c>
      <c r="D77" s="112"/>
      <c r="E77" s="112"/>
      <c r="F77" s="112"/>
      <c r="G77" s="112"/>
      <c r="H77" s="112"/>
      <c r="I77" s="112"/>
      <c r="J77" s="130"/>
      <c r="K77" s="131">
        <v>12870</v>
      </c>
    </row>
    <row r="78" spans="1:11" s="100" customFormat="1" ht="12" x14ac:dyDescent="0.3">
      <c r="A78" s="467"/>
      <c r="B78" s="11" t="s">
        <v>51</v>
      </c>
      <c r="C78" s="19">
        <f>SUM(D78:K78)</f>
        <v>85205</v>
      </c>
      <c r="D78" s="106">
        <f>D79*D80</f>
        <v>13905</v>
      </c>
      <c r="E78" s="106">
        <f t="shared" ref="E78:J78" si="18">E79*E80</f>
        <v>15000</v>
      </c>
      <c r="F78" s="106">
        <f t="shared" si="18"/>
        <v>15000</v>
      </c>
      <c r="G78" s="106">
        <f t="shared" si="18"/>
        <v>20000</v>
      </c>
      <c r="H78" s="106">
        <f t="shared" si="18"/>
        <v>6000</v>
      </c>
      <c r="I78" s="106">
        <f t="shared" si="18"/>
        <v>9000</v>
      </c>
      <c r="J78" s="125">
        <f t="shared" si="18"/>
        <v>0</v>
      </c>
      <c r="K78" s="125">
        <f>K79*K80*(1+K81)</f>
        <v>6300</v>
      </c>
    </row>
    <row r="79" spans="1:11" s="135" customFormat="1" ht="12" x14ac:dyDescent="0.3">
      <c r="A79" s="467"/>
      <c r="B79" s="79" t="s">
        <v>104</v>
      </c>
      <c r="C79" s="79"/>
      <c r="D79" s="68">
        <v>45</v>
      </c>
      <c r="E79" s="68">
        <v>50</v>
      </c>
      <c r="F79" s="69">
        <v>60</v>
      </c>
      <c r="G79" s="68">
        <v>50</v>
      </c>
      <c r="H79" s="68">
        <v>20</v>
      </c>
      <c r="I79" s="68">
        <v>30</v>
      </c>
      <c r="J79" s="140"/>
      <c r="K79" s="68">
        <v>18</v>
      </c>
    </row>
    <row r="80" spans="1:11" s="94" customFormat="1" ht="12" x14ac:dyDescent="0.3">
      <c r="A80" s="467"/>
      <c r="B80" s="54" t="s">
        <v>174</v>
      </c>
      <c r="C80" s="93"/>
      <c r="D80" s="55">
        <v>309</v>
      </c>
      <c r="E80" s="55">
        <v>300</v>
      </c>
      <c r="F80" s="56">
        <v>250</v>
      </c>
      <c r="G80" s="55">
        <v>400</v>
      </c>
      <c r="H80" s="55">
        <v>300</v>
      </c>
      <c r="I80" s="55">
        <v>300</v>
      </c>
      <c r="J80" s="126"/>
      <c r="K80" s="55">
        <v>350</v>
      </c>
    </row>
    <row r="81" spans="1:11" s="94" customFormat="1" ht="24" x14ac:dyDescent="0.3">
      <c r="A81" s="467"/>
      <c r="B81" s="54" t="s">
        <v>145</v>
      </c>
      <c r="C81" s="93"/>
      <c r="D81" s="107"/>
      <c r="E81" s="93"/>
      <c r="F81" s="93"/>
      <c r="G81" s="93"/>
      <c r="H81" s="93"/>
      <c r="I81" s="93"/>
      <c r="J81" s="127"/>
      <c r="K81" s="128"/>
    </row>
    <row r="82" spans="1:11" s="100" customFormat="1" ht="12" x14ac:dyDescent="0.3">
      <c r="A82" s="467"/>
      <c r="B82" s="11" t="s">
        <v>52</v>
      </c>
      <c r="C82" s="19">
        <f>SUM(D82:K82)</f>
        <v>87600</v>
      </c>
      <c r="D82" s="106">
        <f t="shared" ref="D82" si="19">D83*D84</f>
        <v>0</v>
      </c>
      <c r="E82" s="106">
        <f>E83*E84</f>
        <v>0</v>
      </c>
      <c r="F82" s="106">
        <f t="shared" ref="F82:K82" si="20">F83*F84</f>
        <v>16800</v>
      </c>
      <c r="G82" s="106">
        <f t="shared" si="20"/>
        <v>16800</v>
      </c>
      <c r="H82" s="106">
        <f t="shared" si="20"/>
        <v>0</v>
      </c>
      <c r="I82" s="106">
        <f t="shared" si="20"/>
        <v>36000</v>
      </c>
      <c r="J82" s="125">
        <f t="shared" si="20"/>
        <v>18000</v>
      </c>
      <c r="K82" s="125">
        <f t="shared" si="20"/>
        <v>0</v>
      </c>
    </row>
    <row r="83" spans="1:11" s="135" customFormat="1" ht="12" x14ac:dyDescent="0.3">
      <c r="A83" s="467"/>
      <c r="B83" s="79" t="s">
        <v>109</v>
      </c>
      <c r="C83" s="79"/>
      <c r="D83" s="79"/>
      <c r="E83" s="69"/>
      <c r="F83" s="69">
        <v>12</v>
      </c>
      <c r="G83" s="68">
        <v>12</v>
      </c>
      <c r="H83" s="68"/>
      <c r="I83" s="68">
        <v>12</v>
      </c>
      <c r="J83" s="68">
        <v>12</v>
      </c>
      <c r="K83" s="140"/>
    </row>
    <row r="84" spans="1:11" s="94" customFormat="1" ht="12" x14ac:dyDescent="0.3">
      <c r="A84" s="467"/>
      <c r="B84" s="93" t="s">
        <v>170</v>
      </c>
      <c r="C84" s="93"/>
      <c r="D84" s="54"/>
      <c r="E84" s="56"/>
      <c r="F84" s="56">
        <v>1400</v>
      </c>
      <c r="G84" s="55">
        <v>1400</v>
      </c>
      <c r="H84" s="55"/>
      <c r="I84" s="55">
        <f>1500+1500</f>
        <v>3000</v>
      </c>
      <c r="J84" s="55">
        <v>1500</v>
      </c>
      <c r="K84" s="126"/>
    </row>
    <row r="85" spans="1:11" s="100" customFormat="1" ht="22.8" x14ac:dyDescent="0.3">
      <c r="A85" s="467"/>
      <c r="B85" s="11" t="s">
        <v>129</v>
      </c>
      <c r="C85" s="19">
        <f>SUM(D85:K85)</f>
        <v>40000</v>
      </c>
      <c r="D85" s="106">
        <f t="shared" ref="D85" si="21">D86*D87</f>
        <v>0</v>
      </c>
      <c r="E85" s="106">
        <f>E86*E87</f>
        <v>0</v>
      </c>
      <c r="F85" s="106">
        <f t="shared" ref="F85:K85" si="22">F86*F87</f>
        <v>0</v>
      </c>
      <c r="G85" s="106">
        <f t="shared" si="22"/>
        <v>0</v>
      </c>
      <c r="H85" s="106">
        <f t="shared" si="22"/>
        <v>40000</v>
      </c>
      <c r="I85" s="106">
        <f t="shared" si="22"/>
        <v>0</v>
      </c>
      <c r="J85" s="125">
        <f t="shared" si="22"/>
        <v>0</v>
      </c>
      <c r="K85" s="125">
        <f t="shared" si="22"/>
        <v>0</v>
      </c>
    </row>
    <row r="86" spans="1:11" s="135" customFormat="1" ht="12" x14ac:dyDescent="0.3">
      <c r="A86" s="467"/>
      <c r="B86" s="79" t="s">
        <v>67</v>
      </c>
      <c r="C86" s="79"/>
      <c r="D86" s="79"/>
      <c r="E86" s="69"/>
      <c r="F86" s="69"/>
      <c r="G86" s="68"/>
      <c r="H86" s="282">
        <v>1</v>
      </c>
      <c r="I86" s="79"/>
      <c r="J86" s="140"/>
      <c r="K86" s="140"/>
    </row>
    <row r="87" spans="1:11" s="94" customFormat="1" ht="12" x14ac:dyDescent="0.3">
      <c r="A87" s="467"/>
      <c r="B87" s="93" t="s">
        <v>171</v>
      </c>
      <c r="C87" s="93"/>
      <c r="D87" s="54"/>
      <c r="E87" s="56"/>
      <c r="F87" s="56"/>
      <c r="G87" s="55"/>
      <c r="H87" s="93">
        <v>40000</v>
      </c>
      <c r="I87" s="54"/>
      <c r="J87" s="126"/>
      <c r="K87" s="126"/>
    </row>
    <row r="88" spans="1:11" s="151" customFormat="1" ht="12" x14ac:dyDescent="0.3">
      <c r="A88" s="467"/>
      <c r="B88" s="11" t="s">
        <v>48</v>
      </c>
      <c r="C88" s="19">
        <f t="shared" ref="C88" si="23">SUM(D88:K88)</f>
        <v>60593.789999999994</v>
      </c>
      <c r="D88" s="19">
        <f>D90*(1+D91)</f>
        <v>5699.4</v>
      </c>
      <c r="E88" s="19">
        <f t="shared" ref="E88:J88" si="24">E90*(1+E91)</f>
        <v>5319.44</v>
      </c>
      <c r="F88" s="19">
        <f t="shared" si="24"/>
        <v>10000</v>
      </c>
      <c r="G88" s="19">
        <f t="shared" ref="G88:K88" si="25">G89*G90*(1+G91)</f>
        <v>6460</v>
      </c>
      <c r="H88" s="19">
        <f t="shared" si="24"/>
        <v>11968</v>
      </c>
      <c r="I88" s="19">
        <f t="shared" si="24"/>
        <v>9499</v>
      </c>
      <c r="J88" s="19">
        <f t="shared" si="24"/>
        <v>6459.32</v>
      </c>
      <c r="K88" s="19">
        <f t="shared" si="25"/>
        <v>5188.63</v>
      </c>
    </row>
    <row r="89" spans="1:11" s="80" customFormat="1" ht="12" x14ac:dyDescent="0.3">
      <c r="A89" s="467"/>
      <c r="B89" s="79" t="s">
        <v>186</v>
      </c>
      <c r="C89" s="68"/>
      <c r="D89" s="68"/>
      <c r="E89" s="68"/>
      <c r="F89" s="69"/>
      <c r="G89" s="68">
        <v>1700</v>
      </c>
      <c r="H89" s="68"/>
      <c r="I89" s="68">
        <v>1200</v>
      </c>
      <c r="J89" s="68"/>
      <c r="K89" s="68">
        <v>1</v>
      </c>
    </row>
    <row r="90" spans="1:11" s="58" customFormat="1" ht="12" x14ac:dyDescent="0.3">
      <c r="A90" s="467"/>
      <c r="B90" s="54" t="s">
        <v>63</v>
      </c>
      <c r="C90" s="55"/>
      <c r="D90" s="55">
        <v>5699.4</v>
      </c>
      <c r="E90" s="55">
        <v>5319.44</v>
      </c>
      <c r="F90" s="56">
        <v>10000</v>
      </c>
      <c r="G90" s="55">
        <v>3.8</v>
      </c>
      <c r="H90" s="55">
        <v>11968</v>
      </c>
      <c r="I90" s="55">
        <f>4939.48+3.7996*1200</f>
        <v>9499</v>
      </c>
      <c r="J90" s="55">
        <v>6459.32</v>
      </c>
      <c r="K90" s="55">
        <v>5188.63</v>
      </c>
    </row>
    <row r="91" spans="1:11" s="94" customFormat="1" ht="24" x14ac:dyDescent="0.3">
      <c r="A91" s="467"/>
      <c r="B91" s="54" t="s">
        <v>145</v>
      </c>
      <c r="C91" s="93"/>
      <c r="D91" s="107"/>
      <c r="E91" s="93"/>
      <c r="F91" s="93"/>
      <c r="G91" s="93"/>
      <c r="H91" s="93"/>
      <c r="I91" s="93"/>
      <c r="J91" s="127"/>
      <c r="K91" s="128"/>
    </row>
    <row r="92" spans="1:11" s="113" customFormat="1" ht="12" x14ac:dyDescent="0.3">
      <c r="A92" s="467"/>
      <c r="B92" s="25" t="s">
        <v>45</v>
      </c>
      <c r="C92" s="50">
        <f>SUM(D92:K92)</f>
        <v>978021.94</v>
      </c>
      <c r="D92" s="110">
        <v>50000</v>
      </c>
      <c r="E92" s="110">
        <v>250000</v>
      </c>
      <c r="F92" s="110">
        <v>150000</v>
      </c>
      <c r="G92" s="110">
        <v>200000</v>
      </c>
      <c r="H92" s="110">
        <v>80000</v>
      </c>
      <c r="I92" s="110">
        <v>50000</v>
      </c>
      <c r="J92" s="131">
        <v>80000</v>
      </c>
      <c r="K92" s="131">
        <v>118021.94</v>
      </c>
    </row>
    <row r="93" spans="1:11" s="122" customFormat="1" ht="22.8" x14ac:dyDescent="0.3">
      <c r="A93" s="467"/>
      <c r="B93" s="123" t="s">
        <v>9</v>
      </c>
      <c r="C93" s="50">
        <f>SUM(D93:K93)</f>
        <v>256950</v>
      </c>
      <c r="D93" s="110">
        <v>25000</v>
      </c>
      <c r="E93" s="114">
        <v>65000</v>
      </c>
      <c r="F93" s="110">
        <v>30000</v>
      </c>
      <c r="G93" s="110">
        <v>34950</v>
      </c>
      <c r="H93" s="50">
        <v>22000</v>
      </c>
      <c r="I93" s="50">
        <f>20000+30000</f>
        <v>50000</v>
      </c>
      <c r="J93" s="131">
        <v>30000</v>
      </c>
      <c r="K93" s="131"/>
    </row>
    <row r="94" spans="1:11" s="94" customFormat="1" ht="24" x14ac:dyDescent="0.3">
      <c r="A94" s="467"/>
      <c r="B94" s="54" t="s">
        <v>145</v>
      </c>
      <c r="C94" s="93"/>
      <c r="D94" s="107"/>
      <c r="E94" s="93"/>
      <c r="F94" s="93"/>
      <c r="G94" s="93"/>
      <c r="H94" s="93"/>
      <c r="I94" s="93"/>
      <c r="J94" s="127"/>
      <c r="K94" s="128"/>
    </row>
    <row r="95" spans="1:11" s="122" customFormat="1" ht="22.8" x14ac:dyDescent="0.3">
      <c r="A95" s="467"/>
      <c r="B95" s="123" t="s">
        <v>477</v>
      </c>
      <c r="C95" s="50">
        <f t="shared" ref="C95:C101" si="26">SUM(D95:K95)</f>
        <v>0</v>
      </c>
      <c r="D95" s="110"/>
      <c r="E95" s="114"/>
      <c r="F95" s="110"/>
      <c r="G95" s="110"/>
      <c r="H95" s="50"/>
      <c r="I95" s="309">
        <f>150000*0</f>
        <v>0</v>
      </c>
      <c r="J95" s="131"/>
      <c r="K95" s="131"/>
    </row>
    <row r="96" spans="1:11" s="113" customFormat="1" ht="12" x14ac:dyDescent="0.3">
      <c r="A96" s="467"/>
      <c r="B96" s="25" t="s">
        <v>205</v>
      </c>
      <c r="C96" s="50">
        <f t="shared" si="26"/>
        <v>75000</v>
      </c>
      <c r="D96" s="110"/>
      <c r="E96" s="110">
        <v>75000</v>
      </c>
      <c r="F96" s="110"/>
      <c r="G96" s="110"/>
      <c r="H96" s="110"/>
      <c r="I96" s="110"/>
      <c r="J96" s="131"/>
      <c r="K96" s="131"/>
    </row>
    <row r="97" spans="1:11" s="113" customFormat="1" ht="12" x14ac:dyDescent="0.3">
      <c r="A97" s="467"/>
      <c r="B97" s="25" t="s">
        <v>206</v>
      </c>
      <c r="C97" s="50">
        <f t="shared" si="26"/>
        <v>0</v>
      </c>
      <c r="D97" s="110"/>
      <c r="E97" s="310">
        <f>700000*0</f>
        <v>0</v>
      </c>
      <c r="F97" s="110"/>
      <c r="G97" s="110"/>
      <c r="H97" s="110"/>
      <c r="I97" s="110"/>
      <c r="J97" s="131"/>
      <c r="K97" s="131"/>
    </row>
    <row r="98" spans="1:11" s="113" customFormat="1" ht="15" customHeight="1" x14ac:dyDescent="0.3">
      <c r="A98" s="467"/>
      <c r="B98" s="25" t="s">
        <v>235</v>
      </c>
      <c r="C98" s="50">
        <f>SUM(D98:K98)</f>
        <v>0</v>
      </c>
      <c r="D98" s="110"/>
      <c r="E98" s="118"/>
      <c r="F98" s="311">
        <f>1000000*0</f>
        <v>0</v>
      </c>
      <c r="G98" s="118"/>
      <c r="H98" s="118"/>
      <c r="I98" s="118"/>
      <c r="J98" s="132"/>
      <c r="K98" s="132"/>
    </row>
    <row r="99" spans="1:11" s="120" customFormat="1" ht="34.200000000000003" x14ac:dyDescent="0.3">
      <c r="A99" s="467"/>
      <c r="B99" s="117" t="s">
        <v>476</v>
      </c>
      <c r="C99" s="50">
        <f t="shared" si="26"/>
        <v>0</v>
      </c>
      <c r="D99" s="110"/>
      <c r="E99" s="118"/>
      <c r="F99" s="311">
        <f>300000*0</f>
        <v>0</v>
      </c>
      <c r="G99" s="310">
        <f>250000*0</f>
        <v>0</v>
      </c>
      <c r="H99" s="118"/>
      <c r="I99" s="310">
        <f>30000*0</f>
        <v>0</v>
      </c>
      <c r="J99" s="132"/>
      <c r="K99" s="132"/>
    </row>
    <row r="100" spans="1:11" s="113" customFormat="1" ht="22.8" x14ac:dyDescent="0.3">
      <c r="A100" s="467"/>
      <c r="B100" s="115" t="s">
        <v>473</v>
      </c>
      <c r="C100" s="50">
        <f t="shared" si="26"/>
        <v>0</v>
      </c>
      <c r="D100" s="116"/>
      <c r="E100" s="110"/>
      <c r="F100" s="310">
        <f>200000*0</f>
        <v>0</v>
      </c>
      <c r="G100" s="110"/>
      <c r="H100" s="110"/>
      <c r="I100" s="110"/>
      <c r="J100" s="131"/>
      <c r="K100" s="131"/>
    </row>
    <row r="101" spans="1:11" s="113" customFormat="1" ht="22.8" x14ac:dyDescent="0.3">
      <c r="A101" s="467"/>
      <c r="B101" s="25" t="s">
        <v>239</v>
      </c>
      <c r="C101" s="50">
        <f t="shared" si="26"/>
        <v>0</v>
      </c>
      <c r="D101" s="110"/>
      <c r="E101" s="110"/>
      <c r="F101" s="310">
        <f>100000*0</f>
        <v>0</v>
      </c>
      <c r="G101" s="110"/>
      <c r="H101" s="110"/>
      <c r="I101" s="110"/>
      <c r="J101" s="131"/>
      <c r="K101" s="131"/>
    </row>
    <row r="102" spans="1:11" s="113" customFormat="1" ht="22.8" x14ac:dyDescent="0.3">
      <c r="A102" s="467"/>
      <c r="B102" s="25" t="s">
        <v>474</v>
      </c>
      <c r="C102" s="50">
        <f>SUM(D102:K102)</f>
        <v>0</v>
      </c>
      <c r="D102" s="110"/>
      <c r="E102" s="110"/>
      <c r="F102" s="310">
        <f>200000*0</f>
        <v>0</v>
      </c>
      <c r="G102" s="110"/>
      <c r="H102" s="110"/>
      <c r="I102" s="110"/>
      <c r="J102" s="131"/>
      <c r="K102" s="131"/>
    </row>
    <row r="103" spans="1:11" s="113" customFormat="1" ht="12" x14ac:dyDescent="0.3">
      <c r="A103" s="467"/>
      <c r="B103" s="25" t="s">
        <v>310</v>
      </c>
      <c r="C103" s="50">
        <f t="shared" ref="C103:C107" si="27">SUM(D103:K103)</f>
        <v>20000</v>
      </c>
      <c r="D103" s="119"/>
      <c r="E103" s="110"/>
      <c r="F103" s="110"/>
      <c r="G103" s="110"/>
      <c r="H103" s="110"/>
      <c r="I103" s="110"/>
      <c r="J103" s="131"/>
      <c r="K103" s="131">
        <v>20000</v>
      </c>
    </row>
    <row r="104" spans="1:11" s="113" customFormat="1" ht="34.200000000000003" x14ac:dyDescent="0.3">
      <c r="A104" s="467"/>
      <c r="B104" s="121" t="s">
        <v>133</v>
      </c>
      <c r="C104" s="50">
        <f t="shared" si="27"/>
        <v>50000</v>
      </c>
      <c r="D104" s="110"/>
      <c r="E104" s="114"/>
      <c r="F104" s="110"/>
      <c r="G104" s="110"/>
      <c r="H104" s="110"/>
      <c r="I104" s="110"/>
      <c r="J104" s="131">
        <v>50000</v>
      </c>
      <c r="K104" s="131"/>
    </row>
    <row r="105" spans="1:11" s="120" customFormat="1" ht="12" x14ac:dyDescent="0.3">
      <c r="A105" s="467"/>
      <c r="B105" s="285" t="s">
        <v>479</v>
      </c>
      <c r="C105" s="50">
        <f t="shared" si="27"/>
        <v>0</v>
      </c>
      <c r="D105" s="110"/>
      <c r="E105" s="114"/>
      <c r="F105" s="110"/>
      <c r="G105" s="110"/>
      <c r="H105" s="110"/>
      <c r="I105" s="110"/>
      <c r="J105" s="312">
        <f>179775*0</f>
        <v>0</v>
      </c>
      <c r="K105" s="131"/>
    </row>
    <row r="106" spans="1:11" s="122" customFormat="1" ht="22.8" x14ac:dyDescent="0.3">
      <c r="A106" s="467"/>
      <c r="B106" s="124" t="s">
        <v>172</v>
      </c>
      <c r="C106" s="50">
        <f t="shared" si="27"/>
        <v>0</v>
      </c>
      <c r="D106" s="110"/>
      <c r="E106" s="110"/>
      <c r="F106" s="310">
        <f>200000*0</f>
        <v>0</v>
      </c>
      <c r="G106" s="310">
        <f>(500000+200000)*0</f>
        <v>0</v>
      </c>
      <c r="H106" s="110"/>
      <c r="I106" s="110"/>
      <c r="J106" s="312">
        <f>554400*0</f>
        <v>0</v>
      </c>
      <c r="K106" s="131"/>
    </row>
    <row r="107" spans="1:11" s="122" customFormat="1" ht="22.8" x14ac:dyDescent="0.3">
      <c r="A107" s="467"/>
      <c r="B107" s="124" t="s">
        <v>508</v>
      </c>
      <c r="C107" s="50">
        <f t="shared" si="27"/>
        <v>0</v>
      </c>
      <c r="D107" s="110"/>
      <c r="E107" s="110"/>
      <c r="F107" s="110"/>
      <c r="G107" s="310">
        <f>1000000*0</f>
        <v>0</v>
      </c>
      <c r="H107" s="110"/>
      <c r="I107" s="110"/>
      <c r="J107" s="131"/>
      <c r="K107" s="131"/>
    </row>
    <row r="108" spans="1:11" s="51" customFormat="1" ht="12" x14ac:dyDescent="0.3">
      <c r="A108" s="467"/>
      <c r="B108" s="28"/>
      <c r="C108" s="108"/>
      <c r="D108" s="145"/>
      <c r="E108" s="145"/>
      <c r="F108" s="145"/>
      <c r="G108" s="145"/>
      <c r="H108" s="145"/>
      <c r="I108" s="145"/>
      <c r="J108" s="146"/>
      <c r="K108" s="146"/>
    </row>
    <row r="109" spans="1:11" s="148" customFormat="1" ht="29.25" customHeight="1" x14ac:dyDescent="0.3">
      <c r="A109" s="468"/>
      <c r="B109" s="16" t="s">
        <v>89</v>
      </c>
      <c r="C109" s="17">
        <f>SUM(D109:K109)</f>
        <v>4203718.6228</v>
      </c>
      <c r="D109" s="147">
        <f>D5+D9+D13+D18+D22+D26+D30+D34+D37+D41+D45+D46+D47+D55+D59+D63+D68+D72+D76+D77+D78+D82+D85+D88+D92+D93+D96+D95+D97+D98+D99+D100+D101+D102+D103+D104+D105+D106+D107</f>
        <v>339394.83280000003</v>
      </c>
      <c r="E109" s="147">
        <f t="shared" ref="E109:K109" si="28">E5+E9+E13+E18+E22+E26+E30+E34+E37+E41+E45+E46+E47+E55+E59+E63+E68+E72+E76+E77+E78+E82+E85+E88+E92+E93+E96+E95+E97+E98+E99+E100+E101+E102+E103+E104+E105+E106+E107</f>
        <v>848111.86</v>
      </c>
      <c r="F109" s="147">
        <f t="shared" si="28"/>
        <v>624286.67999999993</v>
      </c>
      <c r="G109" s="147">
        <f t="shared" si="28"/>
        <v>680394.17</v>
      </c>
      <c r="H109" s="147">
        <f t="shared" si="28"/>
        <v>579388</v>
      </c>
      <c r="I109" s="147">
        <f t="shared" si="28"/>
        <v>465187.72</v>
      </c>
      <c r="J109" s="147">
        <f t="shared" si="28"/>
        <v>325502.29000000004</v>
      </c>
      <c r="K109" s="147">
        <f t="shared" si="28"/>
        <v>341453.07</v>
      </c>
    </row>
    <row r="110" spans="1:11" x14ac:dyDescent="0.3">
      <c r="B110" s="109"/>
      <c r="C110" s="96"/>
      <c r="J110" s="133"/>
      <c r="K110" s="133"/>
    </row>
    <row r="111" spans="1:11" s="98" customFormat="1" ht="27.6" x14ac:dyDescent="0.3">
      <c r="A111" s="97"/>
      <c r="B111" s="97" t="s">
        <v>154</v>
      </c>
      <c r="C111" s="83">
        <f>(D111+E111+F111+G111+H111+I111+J111+K111)</f>
        <v>4203.7186228</v>
      </c>
      <c r="D111" s="103">
        <f>D109/1000</f>
        <v>339.39483280000002</v>
      </c>
      <c r="E111" s="103">
        <f t="shared" ref="E111:K111" si="29">E109/1000</f>
        <v>848.11185999999998</v>
      </c>
      <c r="F111" s="103">
        <f t="shared" si="29"/>
        <v>624.28667999999993</v>
      </c>
      <c r="G111" s="103">
        <f t="shared" si="29"/>
        <v>680.39417000000003</v>
      </c>
      <c r="H111" s="103">
        <f t="shared" si="29"/>
        <v>579.38800000000003</v>
      </c>
      <c r="I111" s="103">
        <f t="shared" si="29"/>
        <v>465.18771999999996</v>
      </c>
      <c r="J111" s="103">
        <f t="shared" si="29"/>
        <v>325.50229000000002</v>
      </c>
      <c r="K111" s="103">
        <f t="shared" si="29"/>
        <v>341.45307000000003</v>
      </c>
    </row>
    <row r="112" spans="1:11" s="98" customFormat="1" x14ac:dyDescent="0.3">
      <c r="A112" s="270"/>
      <c r="B112" s="270"/>
      <c r="C112" s="271"/>
      <c r="D112" s="272"/>
      <c r="E112" s="272"/>
      <c r="F112" s="272"/>
      <c r="G112" s="272"/>
      <c r="H112" s="272"/>
      <c r="I112" s="272"/>
      <c r="J112" s="272"/>
      <c r="K112" s="272"/>
    </row>
    <row r="113" spans="1:11" s="52" customFormat="1" ht="12" x14ac:dyDescent="0.3">
      <c r="A113" s="53"/>
      <c r="C113" s="160"/>
      <c r="D113" s="161">
        <f>D109-ШС1!C103</f>
        <v>30697.032800000045</v>
      </c>
      <c r="E113" s="161">
        <f>E109-ШС2!C104</f>
        <v>-700480.55999999994</v>
      </c>
      <c r="F113" s="161">
        <f>F109-ШС3!C103</f>
        <v>-2069999.9999999998</v>
      </c>
      <c r="G113" s="161">
        <f>G109-ШС4!C103</f>
        <v>-2049540</v>
      </c>
      <c r="H113" s="161">
        <f>H109-ШС5!C102</f>
        <v>-3032</v>
      </c>
      <c r="I113" s="161">
        <f>I109-ШО2!C102-'ШО2 (2)'!C102</f>
        <v>-114501</v>
      </c>
      <c r="J113" s="286">
        <f>J109-ШО3!C103</f>
        <v>-734172.83999999985</v>
      </c>
      <c r="K113" s="286">
        <f>K109-ШН2!C105</f>
        <v>-58800.289999999979</v>
      </c>
    </row>
    <row r="114" spans="1:11" s="279" customFormat="1" ht="9.6" x14ac:dyDescent="0.3">
      <c r="A114" s="77"/>
      <c r="B114" s="276"/>
      <c r="C114" s="277"/>
      <c r="D114" s="77" t="s">
        <v>471</v>
      </c>
      <c r="E114" s="77" t="s">
        <v>471</v>
      </c>
      <c r="F114" s="278" t="s">
        <v>475</v>
      </c>
      <c r="I114" s="77" t="s">
        <v>471</v>
      </c>
      <c r="J114" s="280"/>
      <c r="K114" s="280"/>
    </row>
    <row r="115" spans="1:11" x14ac:dyDescent="0.3">
      <c r="C115" s="96"/>
      <c r="J115" s="133"/>
      <c r="K115" s="133"/>
    </row>
    <row r="116" spans="1:11" x14ac:dyDescent="0.3">
      <c r="B116" s="109"/>
      <c r="C116" s="96">
        <v>9767893.6199999992</v>
      </c>
      <c r="J116" s="287"/>
      <c r="K116" s="287">
        <f>K113+64000</f>
        <v>5199.710000000021</v>
      </c>
    </row>
    <row r="117" spans="1:11" x14ac:dyDescent="0.3">
      <c r="C117" s="96"/>
      <c r="J117" s="133"/>
      <c r="K117" s="133"/>
    </row>
    <row r="118" spans="1:11" x14ac:dyDescent="0.3">
      <c r="C118" s="96"/>
      <c r="J118" s="133"/>
      <c r="K118" s="133"/>
    </row>
    <row r="119" spans="1:11" x14ac:dyDescent="0.3">
      <c r="C119" s="96"/>
      <c r="J119" s="133"/>
      <c r="K119" s="133"/>
    </row>
    <row r="120" spans="1:11" x14ac:dyDescent="0.3">
      <c r="C120" s="96"/>
      <c r="J120" s="133"/>
      <c r="K120" s="133"/>
    </row>
    <row r="121" spans="1:11" x14ac:dyDescent="0.3">
      <c r="C121" s="96"/>
      <c r="J121" s="133"/>
      <c r="K121" s="133"/>
    </row>
    <row r="122" spans="1:11" x14ac:dyDescent="0.3">
      <c r="C122" s="96"/>
      <c r="J122" s="133"/>
      <c r="K122" s="133"/>
    </row>
    <row r="123" spans="1:11" x14ac:dyDescent="0.3">
      <c r="C123" s="96"/>
      <c r="J123" s="133"/>
      <c r="K123" s="133"/>
    </row>
    <row r="124" spans="1:11" x14ac:dyDescent="0.3">
      <c r="C124" s="96"/>
      <c r="J124" s="133"/>
      <c r="K124" s="133"/>
    </row>
    <row r="125" spans="1:11" x14ac:dyDescent="0.3">
      <c r="C125" s="96"/>
      <c r="J125" s="133"/>
      <c r="K125" s="133"/>
    </row>
    <row r="126" spans="1:11" x14ac:dyDescent="0.3">
      <c r="C126" s="96"/>
      <c r="J126" s="133"/>
      <c r="K126" s="133"/>
    </row>
    <row r="127" spans="1:11" x14ac:dyDescent="0.3">
      <c r="C127" s="96"/>
      <c r="J127" s="133"/>
      <c r="K127" s="133"/>
    </row>
    <row r="128" spans="1:11" x14ac:dyDescent="0.3">
      <c r="C128" s="96"/>
      <c r="J128" s="133"/>
      <c r="K128" s="133"/>
    </row>
    <row r="129" spans="3:11" x14ac:dyDescent="0.3">
      <c r="C129" s="96"/>
      <c r="J129" s="133"/>
      <c r="K129" s="133"/>
    </row>
    <row r="130" spans="3:11" x14ac:dyDescent="0.3">
      <c r="C130" s="96"/>
      <c r="J130" s="133"/>
      <c r="K130" s="133"/>
    </row>
    <row r="131" spans="3:11" x14ac:dyDescent="0.3">
      <c r="C131" s="96"/>
      <c r="J131" s="133"/>
      <c r="K131" s="133"/>
    </row>
    <row r="132" spans="3:11" x14ac:dyDescent="0.3">
      <c r="C132" s="96"/>
      <c r="J132" s="133"/>
      <c r="K132" s="133"/>
    </row>
    <row r="133" spans="3:11" x14ac:dyDescent="0.3">
      <c r="C133" s="96"/>
      <c r="J133" s="133"/>
      <c r="K133" s="133"/>
    </row>
    <row r="134" spans="3:11" x14ac:dyDescent="0.3">
      <c r="C134" s="96"/>
      <c r="J134" s="133"/>
      <c r="K134" s="133"/>
    </row>
    <row r="135" spans="3:11" x14ac:dyDescent="0.3">
      <c r="C135" s="96"/>
      <c r="J135" s="133"/>
      <c r="K135" s="133"/>
    </row>
    <row r="136" spans="3:11" x14ac:dyDescent="0.3">
      <c r="C136" s="96"/>
      <c r="J136" s="133"/>
      <c r="K136" s="133"/>
    </row>
    <row r="137" spans="3:11" x14ac:dyDescent="0.3">
      <c r="C137" s="96"/>
      <c r="J137" s="133"/>
      <c r="K137" s="133"/>
    </row>
    <row r="138" spans="3:11" x14ac:dyDescent="0.3">
      <c r="C138" s="96"/>
      <c r="J138" s="133"/>
      <c r="K138" s="133"/>
    </row>
    <row r="139" spans="3:11" x14ac:dyDescent="0.3">
      <c r="C139" s="96"/>
      <c r="J139" s="133"/>
      <c r="K139" s="133"/>
    </row>
    <row r="140" spans="3:11" x14ac:dyDescent="0.3">
      <c r="C140" s="96"/>
      <c r="J140" s="133"/>
      <c r="K140" s="133"/>
    </row>
    <row r="141" spans="3:11" x14ac:dyDescent="0.3">
      <c r="C141" s="96"/>
      <c r="J141" s="133"/>
      <c r="K141" s="133"/>
    </row>
    <row r="142" spans="3:11" x14ac:dyDescent="0.3">
      <c r="C142" s="96"/>
      <c r="J142" s="133"/>
      <c r="K142" s="133"/>
    </row>
    <row r="143" spans="3:11" x14ac:dyDescent="0.3">
      <c r="C143" s="96"/>
      <c r="J143" s="133"/>
      <c r="K143" s="133"/>
    </row>
    <row r="144" spans="3:11" x14ac:dyDescent="0.3">
      <c r="C144" s="96"/>
      <c r="J144" s="133"/>
      <c r="K144" s="133"/>
    </row>
    <row r="145" spans="3:11" x14ac:dyDescent="0.3">
      <c r="C145" s="96"/>
      <c r="J145" s="133"/>
      <c r="K145" s="133"/>
    </row>
    <row r="146" spans="3:11" x14ac:dyDescent="0.3">
      <c r="C146" s="96"/>
      <c r="J146" s="133"/>
      <c r="K146" s="133"/>
    </row>
    <row r="147" spans="3:11" x14ac:dyDescent="0.3">
      <c r="C147" s="96"/>
      <c r="J147" s="133"/>
      <c r="K147" s="133"/>
    </row>
    <row r="148" spans="3:11" x14ac:dyDescent="0.3">
      <c r="C148" s="96"/>
      <c r="J148" s="133"/>
      <c r="K148" s="133"/>
    </row>
    <row r="149" spans="3:11" x14ac:dyDescent="0.3">
      <c r="C149" s="96"/>
      <c r="J149" s="133"/>
      <c r="K149" s="133"/>
    </row>
    <row r="150" spans="3:11" x14ac:dyDescent="0.3">
      <c r="C150" s="96"/>
      <c r="J150" s="133"/>
      <c r="K150" s="133"/>
    </row>
    <row r="151" spans="3:11" x14ac:dyDescent="0.3">
      <c r="C151" s="96"/>
      <c r="J151" s="133"/>
      <c r="K151" s="133"/>
    </row>
    <row r="152" spans="3:11" x14ac:dyDescent="0.3">
      <c r="C152" s="96"/>
      <c r="J152" s="133"/>
      <c r="K152" s="133"/>
    </row>
    <row r="153" spans="3:11" x14ac:dyDescent="0.3">
      <c r="C153" s="96"/>
      <c r="J153" s="133"/>
      <c r="K153" s="133"/>
    </row>
    <row r="154" spans="3:11" x14ac:dyDescent="0.3">
      <c r="C154" s="96"/>
      <c r="J154" s="133"/>
      <c r="K154" s="133"/>
    </row>
    <row r="155" spans="3:11" x14ac:dyDescent="0.3">
      <c r="C155" s="96"/>
      <c r="J155" s="133"/>
      <c r="K155" s="133"/>
    </row>
    <row r="156" spans="3:11" x14ac:dyDescent="0.3">
      <c r="C156" s="96"/>
      <c r="J156" s="133"/>
      <c r="K156" s="133"/>
    </row>
    <row r="157" spans="3:11" x14ac:dyDescent="0.3">
      <c r="C157" s="96"/>
      <c r="J157" s="133"/>
      <c r="K157" s="133"/>
    </row>
    <row r="158" spans="3:11" x14ac:dyDescent="0.3">
      <c r="C158" s="96"/>
    </row>
    <row r="159" spans="3:11" x14ac:dyDescent="0.3">
      <c r="C159" s="96"/>
    </row>
    <row r="160" spans="3:11" x14ac:dyDescent="0.3">
      <c r="C160" s="96"/>
    </row>
    <row r="161" spans="3:3" x14ac:dyDescent="0.3">
      <c r="C161" s="96"/>
    </row>
    <row r="162" spans="3:3" x14ac:dyDescent="0.3">
      <c r="C162" s="96"/>
    </row>
    <row r="163" spans="3:3" x14ac:dyDescent="0.3">
      <c r="C163" s="96"/>
    </row>
    <row r="164" spans="3:3" x14ac:dyDescent="0.3">
      <c r="C164" s="96"/>
    </row>
    <row r="165" spans="3:3" x14ac:dyDescent="0.3">
      <c r="C165" s="96"/>
    </row>
    <row r="166" spans="3:3" x14ac:dyDescent="0.3">
      <c r="C166" s="96"/>
    </row>
    <row r="167" spans="3:3" x14ac:dyDescent="0.3">
      <c r="C167" s="96"/>
    </row>
    <row r="168" spans="3:3" x14ac:dyDescent="0.3">
      <c r="C168" s="96"/>
    </row>
    <row r="169" spans="3:3" x14ac:dyDescent="0.3">
      <c r="C169" s="96"/>
    </row>
    <row r="170" spans="3:3" x14ac:dyDescent="0.3">
      <c r="C170" s="96"/>
    </row>
    <row r="171" spans="3:3" x14ac:dyDescent="0.3">
      <c r="C171" s="96"/>
    </row>
    <row r="172" spans="3:3" x14ac:dyDescent="0.3">
      <c r="C172" s="96"/>
    </row>
    <row r="173" spans="3:3" x14ac:dyDescent="0.3">
      <c r="C173" s="96"/>
    </row>
    <row r="174" spans="3:3" x14ac:dyDescent="0.3">
      <c r="C174" s="96"/>
    </row>
    <row r="175" spans="3:3" x14ac:dyDescent="0.3">
      <c r="C175" s="96"/>
    </row>
    <row r="176" spans="3:3" x14ac:dyDescent="0.3">
      <c r="C176" s="96"/>
    </row>
  </sheetData>
  <mergeCells count="3">
    <mergeCell ref="A2:C2"/>
    <mergeCell ref="B3:C3"/>
    <mergeCell ref="A5:A109"/>
  </mergeCells>
  <pageMargins left="0.39370078740157483" right="0.39370078740157483" top="0.39370078740157483" bottom="0.39370078740157483" header="0.31496062992125984" footer="0.31496062992125984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64"/>
  <sheetViews>
    <sheetView view="pageBreakPreview" zoomScale="90" zoomScaleSheetLayoutView="90" workbookViewId="0">
      <pane xSplit="3" ySplit="6" topLeftCell="D10" activePane="bottomRight" state="frozen"/>
      <selection pane="topRight" activeCell="D1" sqref="D1"/>
      <selection pane="bottomLeft" activeCell="A7" sqref="A7"/>
      <selection pane="bottomRight" activeCell="D10" sqref="D10"/>
    </sheetView>
  </sheetViews>
  <sheetFormatPr defaultColWidth="9.109375" defaultRowHeight="14.4" x14ac:dyDescent="0.3"/>
  <cols>
    <col min="1" max="1" width="5.109375" style="184" customWidth="1"/>
    <col min="2" max="2" width="23.33203125" style="184" customWidth="1"/>
    <col min="3" max="3" width="12" style="184" bestFit="1" customWidth="1"/>
    <col min="4" max="4" width="13" style="184" customWidth="1"/>
    <col min="5" max="5" width="10.109375" style="184" bestFit="1" customWidth="1"/>
    <col min="6" max="6" width="11" style="184" customWidth="1"/>
    <col min="7" max="8" width="10.109375" style="184" bestFit="1" customWidth="1"/>
    <col min="9" max="9" width="12.44140625" style="184" customWidth="1"/>
    <col min="10" max="13" width="11.109375" style="184" bestFit="1" customWidth="1"/>
    <col min="14" max="14" width="13.33203125" style="184" customWidth="1"/>
    <col min="15" max="15" width="10.88671875" style="184" bestFit="1" customWidth="1"/>
    <col min="16" max="16384" width="9.109375" style="184"/>
  </cols>
  <sheetData>
    <row r="1" spans="1:26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87"/>
      <c r="X1" s="87"/>
      <c r="Y1" s="296"/>
      <c r="Z1" s="296"/>
    </row>
    <row r="2" spans="1:26" ht="18" x14ac:dyDescent="0.3">
      <c r="A2" s="442" t="s">
        <v>510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53"/>
      <c r="Q2" s="53"/>
      <c r="R2" s="53"/>
      <c r="S2" s="53"/>
      <c r="T2" s="53"/>
      <c r="U2" s="53"/>
      <c r="V2" s="53"/>
      <c r="W2" s="87"/>
      <c r="X2" s="87"/>
      <c r="Y2" s="296"/>
      <c r="Z2" s="296"/>
    </row>
    <row r="3" spans="1:26" x14ac:dyDescent="0.3">
      <c r="A3" s="53"/>
      <c r="B3" s="305"/>
      <c r="C3" s="305"/>
      <c r="D3" s="305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87"/>
      <c r="X3" s="87"/>
      <c r="Y3" s="296"/>
      <c r="Z3" s="296"/>
    </row>
    <row r="4" spans="1:26" x14ac:dyDescent="0.3">
      <c r="A4" s="53"/>
      <c r="B4" s="305"/>
      <c r="C4" s="305"/>
      <c r="D4" s="305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87"/>
      <c r="X4" s="87"/>
      <c r="Y4" s="296"/>
      <c r="Z4" s="296"/>
    </row>
    <row r="5" spans="1:26" ht="15" customHeight="1" x14ac:dyDescent="0.3">
      <c r="A5" s="443"/>
      <c r="B5" s="445" t="s">
        <v>499</v>
      </c>
      <c r="C5" s="447" t="s">
        <v>511</v>
      </c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9"/>
      <c r="R5" s="53"/>
      <c r="S5" s="53"/>
      <c r="T5" s="53"/>
      <c r="U5" s="53"/>
      <c r="V5" s="53"/>
      <c r="W5" s="87"/>
      <c r="X5" s="87"/>
      <c r="Y5" s="296"/>
      <c r="Z5" s="296"/>
    </row>
    <row r="6" spans="1:26" ht="30" customHeight="1" x14ac:dyDescent="0.3">
      <c r="A6" s="444"/>
      <c r="B6" s="446"/>
      <c r="C6" s="302" t="s">
        <v>498</v>
      </c>
      <c r="D6" s="299" t="s">
        <v>497</v>
      </c>
      <c r="E6" s="299" t="s">
        <v>496</v>
      </c>
      <c r="F6" s="299" t="s">
        <v>495</v>
      </c>
      <c r="G6" s="299" t="s">
        <v>494</v>
      </c>
      <c r="H6" s="299" t="s">
        <v>493</v>
      </c>
      <c r="I6" s="299" t="s">
        <v>492</v>
      </c>
      <c r="J6" s="299" t="s">
        <v>181</v>
      </c>
      <c r="K6" s="299" t="s">
        <v>472</v>
      </c>
      <c r="L6" s="299" t="s">
        <v>491</v>
      </c>
      <c r="M6" s="299" t="s">
        <v>490</v>
      </c>
      <c r="N6" s="299" t="s">
        <v>489</v>
      </c>
      <c r="O6" s="53"/>
      <c r="P6" s="53"/>
      <c r="Q6" s="53"/>
      <c r="R6" s="53"/>
      <c r="S6" s="53"/>
      <c r="T6" s="53"/>
      <c r="U6" s="53"/>
      <c r="V6" s="53"/>
      <c r="W6" s="87"/>
      <c r="X6" s="87"/>
      <c r="Y6" s="296"/>
      <c r="Z6" s="296"/>
    </row>
    <row r="7" spans="1:26" ht="30" customHeight="1" x14ac:dyDescent="0.3">
      <c r="A7" s="299" t="s">
        <v>500</v>
      </c>
      <c r="B7" s="299" t="s">
        <v>191</v>
      </c>
      <c r="C7" s="297" t="e">
        <f t="shared" ref="C7:C14" si="0">SUM(D7:N7)</f>
        <v>#REF!</v>
      </c>
      <c r="D7" s="301">
        <f>'ст.211,212,213 (2)'!D11</f>
        <v>382500</v>
      </c>
      <c r="E7" s="301">
        <f>'ст.211,212,213 (2)'!D16</f>
        <v>0</v>
      </c>
      <c r="F7" s="301">
        <f>'ст.211,212,213 (2)'!D17</f>
        <v>115515</v>
      </c>
      <c r="G7" s="301">
        <f>ст.221!D31</f>
        <v>0</v>
      </c>
      <c r="H7" s="301">
        <f>ст.222!D27</f>
        <v>0</v>
      </c>
      <c r="I7" s="301">
        <f>ст.223!D43</f>
        <v>0</v>
      </c>
      <c r="J7" s="301">
        <f>'ст.225 (2)'!D109</f>
        <v>339394.83280000003</v>
      </c>
      <c r="K7" s="301">
        <f>'ст.226-227'!F110</f>
        <v>0</v>
      </c>
      <c r="L7" s="301">
        <f>ст.290!F18</f>
        <v>0</v>
      </c>
      <c r="M7" s="301" t="e">
        <f>#REF!</f>
        <v>#REF!</v>
      </c>
      <c r="N7" s="301">
        <f>'ст.340 '!F70</f>
        <v>0</v>
      </c>
      <c r="O7" s="53"/>
      <c r="P7" s="53"/>
      <c r="Q7" s="53"/>
      <c r="R7" s="53"/>
      <c r="S7" s="53"/>
      <c r="T7" s="53"/>
      <c r="U7" s="53"/>
      <c r="V7" s="53"/>
      <c r="W7" s="87"/>
      <c r="X7" s="87"/>
      <c r="Y7" s="296"/>
      <c r="Z7" s="296"/>
    </row>
    <row r="8" spans="1:26" ht="30" customHeight="1" x14ac:dyDescent="0.3">
      <c r="A8" s="299" t="s">
        <v>501</v>
      </c>
      <c r="B8" s="299" t="s">
        <v>192</v>
      </c>
      <c r="C8" s="297" t="e">
        <f t="shared" si="0"/>
        <v>#REF!</v>
      </c>
      <c r="D8" s="301">
        <f>'ст.211,212,213 (2)'!E11</f>
        <v>742500</v>
      </c>
      <c r="E8" s="300">
        <f>'ст.211,212,213 (2)'!E16</f>
        <v>0</v>
      </c>
      <c r="F8" s="300">
        <f>'ст.211,212,213 (2)'!E17</f>
        <v>224235</v>
      </c>
      <c r="G8" s="301" t="e">
        <f>ст.221!#REF!</f>
        <v>#REF!</v>
      </c>
      <c r="H8" s="301" t="e">
        <f>ст.222!#REF!</f>
        <v>#REF!</v>
      </c>
      <c r="I8" s="301" t="e">
        <f>ст.223!#REF!</f>
        <v>#REF!</v>
      </c>
      <c r="J8" s="301">
        <f>'ст.225 (2)'!E109</f>
        <v>848111.86</v>
      </c>
      <c r="K8" s="301" t="e">
        <f>'ст.226-227'!#REF!</f>
        <v>#REF!</v>
      </c>
      <c r="L8" s="301" t="e">
        <f>ст.290!#REF!</f>
        <v>#REF!</v>
      </c>
      <c r="M8" s="301" t="e">
        <f>#REF!</f>
        <v>#REF!</v>
      </c>
      <c r="N8" s="301" t="e">
        <f>'ст.340 '!#REF!</f>
        <v>#REF!</v>
      </c>
      <c r="O8" s="53"/>
      <c r="P8" s="53"/>
      <c r="Q8" s="53"/>
      <c r="R8" s="53"/>
      <c r="S8" s="53"/>
      <c r="T8" s="53"/>
      <c r="U8" s="53"/>
      <c r="V8" s="53"/>
      <c r="W8" s="87"/>
      <c r="X8" s="87"/>
      <c r="Y8" s="296"/>
      <c r="Z8" s="296"/>
    </row>
    <row r="9" spans="1:26" ht="30" customHeight="1" x14ac:dyDescent="0.3">
      <c r="A9" s="299" t="s">
        <v>502</v>
      </c>
      <c r="B9" s="299" t="s">
        <v>193</v>
      </c>
      <c r="C9" s="297" t="e">
        <f t="shared" si="0"/>
        <v>#REF!</v>
      </c>
      <c r="D9" s="301">
        <f>'ст.211,212,213 (2)'!F11</f>
        <v>292500</v>
      </c>
      <c r="E9" s="300">
        <f>'ст.211,212,213 (2)'!F16</f>
        <v>0</v>
      </c>
      <c r="F9" s="300">
        <f>'ст.211,212,213 (2)'!F17</f>
        <v>88335</v>
      </c>
      <c r="G9" s="301" t="e">
        <f>ст.221!#REF!</f>
        <v>#REF!</v>
      </c>
      <c r="H9" s="301" t="e">
        <f>ст.222!#REF!</f>
        <v>#REF!</v>
      </c>
      <c r="I9" s="301" t="e">
        <f>ст.223!#REF!</f>
        <v>#REF!</v>
      </c>
      <c r="J9" s="301">
        <f>'ст.225 (2)'!F109</f>
        <v>624286.67999999993</v>
      </c>
      <c r="K9" s="301" t="e">
        <f>'ст.226-227'!#REF!</f>
        <v>#REF!</v>
      </c>
      <c r="L9" s="301" t="e">
        <f>ст.290!#REF!</f>
        <v>#REF!</v>
      </c>
      <c r="M9" s="301" t="e">
        <f>#REF!</f>
        <v>#REF!</v>
      </c>
      <c r="N9" s="301" t="e">
        <f>'ст.340 '!#REF!</f>
        <v>#REF!</v>
      </c>
      <c r="O9" s="53"/>
      <c r="P9" s="53"/>
      <c r="Q9" s="53"/>
      <c r="R9" s="53"/>
      <c r="S9" s="53"/>
      <c r="T9" s="53"/>
      <c r="U9" s="53"/>
      <c r="V9" s="53"/>
      <c r="W9" s="87"/>
      <c r="X9" s="87"/>
      <c r="Y9" s="296"/>
      <c r="Z9" s="296"/>
    </row>
    <row r="10" spans="1:26" ht="30" customHeight="1" x14ac:dyDescent="0.3">
      <c r="A10" s="299" t="s">
        <v>503</v>
      </c>
      <c r="B10" s="299" t="s">
        <v>194</v>
      </c>
      <c r="C10" s="297" t="e">
        <f t="shared" si="0"/>
        <v>#REF!</v>
      </c>
      <c r="D10" s="301">
        <f>'ст.211,212,213 (2)'!G11</f>
        <v>292500</v>
      </c>
      <c r="E10" s="301">
        <f>'ст.211,212,213 (2)'!G16</f>
        <v>0</v>
      </c>
      <c r="F10" s="301">
        <f>'ст.211,212,213 (2)'!G17</f>
        <v>88335</v>
      </c>
      <c r="G10" s="301" t="e">
        <f>ст.221!#REF!</f>
        <v>#REF!</v>
      </c>
      <c r="H10" s="301" t="e">
        <f>ст.222!#REF!</f>
        <v>#REF!</v>
      </c>
      <c r="I10" s="301" t="e">
        <f>ст.223!#REF!</f>
        <v>#REF!</v>
      </c>
      <c r="J10" s="301">
        <f>'ст.225 (2)'!G109</f>
        <v>680394.17</v>
      </c>
      <c r="K10" s="301" t="e">
        <f>'ст.226-227'!#REF!</f>
        <v>#REF!</v>
      </c>
      <c r="L10" s="301" t="e">
        <f>ст.290!#REF!</f>
        <v>#REF!</v>
      </c>
      <c r="M10" s="301" t="e">
        <f>#REF!</f>
        <v>#REF!</v>
      </c>
      <c r="N10" s="301" t="e">
        <f>'ст.340 '!#REF!</f>
        <v>#REF!</v>
      </c>
      <c r="O10" s="53"/>
      <c r="P10" s="53"/>
      <c r="Q10" s="53"/>
      <c r="R10" s="53"/>
      <c r="S10" s="53"/>
      <c r="T10" s="53"/>
      <c r="U10" s="53"/>
      <c r="V10" s="53"/>
      <c r="W10" s="87"/>
      <c r="X10" s="87"/>
      <c r="Y10" s="296"/>
      <c r="Z10" s="296"/>
    </row>
    <row r="11" spans="1:26" ht="30" customHeight="1" x14ac:dyDescent="0.3">
      <c r="A11" s="299" t="s">
        <v>504</v>
      </c>
      <c r="B11" s="299" t="s">
        <v>195</v>
      </c>
      <c r="C11" s="297" t="e">
        <f t="shared" si="0"/>
        <v>#REF!</v>
      </c>
      <c r="D11" s="301">
        <f>'ст.211,212,213 (2)'!H11</f>
        <v>1884766.2000000002</v>
      </c>
      <c r="E11" s="300">
        <f>'ст.211,212,213 (2)'!H16</f>
        <v>0</v>
      </c>
      <c r="F11" s="300">
        <f>'ст.211,212,213 (2)'!H17</f>
        <v>569199.39240000001</v>
      </c>
      <c r="G11" s="301" t="e">
        <f>ст.221!#REF!</f>
        <v>#REF!</v>
      </c>
      <c r="H11" s="301" t="e">
        <f>ст.222!#REF!</f>
        <v>#REF!</v>
      </c>
      <c r="I11" s="301" t="e">
        <f>ст.223!#REF!</f>
        <v>#REF!</v>
      </c>
      <c r="J11" s="301">
        <f>'ст.225 (2)'!H109</f>
        <v>579388</v>
      </c>
      <c r="K11" s="301" t="e">
        <f>'ст.226-227'!#REF!</f>
        <v>#REF!</v>
      </c>
      <c r="L11" s="301" t="e">
        <f>ст.290!#REF!</f>
        <v>#REF!</v>
      </c>
      <c r="M11" s="301" t="e">
        <f>#REF!</f>
        <v>#REF!</v>
      </c>
      <c r="N11" s="301" t="e">
        <f>'ст.340 '!#REF!</f>
        <v>#REF!</v>
      </c>
      <c r="O11" s="53"/>
      <c r="P11" s="53"/>
      <c r="Q11" s="53"/>
      <c r="R11" s="53"/>
      <c r="S11" s="53"/>
      <c r="T11" s="53"/>
      <c r="U11" s="53"/>
      <c r="V11" s="53"/>
      <c r="W11" s="87"/>
      <c r="X11" s="87"/>
      <c r="Y11" s="296"/>
      <c r="Z11" s="296"/>
    </row>
    <row r="12" spans="1:26" ht="30" customHeight="1" x14ac:dyDescent="0.3">
      <c r="A12" s="299" t="s">
        <v>505</v>
      </c>
      <c r="B12" s="299" t="s">
        <v>197</v>
      </c>
      <c r="C12" s="297" t="e">
        <f t="shared" si="0"/>
        <v>#REF!</v>
      </c>
      <c r="D12" s="301">
        <f>'ст.211,212,213 (2)'!I11</f>
        <v>1565999.9999999998</v>
      </c>
      <c r="E12" s="300">
        <f>'ст.211,212,213 (2)'!I16</f>
        <v>0</v>
      </c>
      <c r="F12" s="300">
        <f>'ст.211,212,213 (2)'!I17</f>
        <v>472931.99999999994</v>
      </c>
      <c r="G12" s="301" t="e">
        <f>ст.221!#REF!</f>
        <v>#REF!</v>
      </c>
      <c r="H12" s="301" t="e">
        <f>ст.222!#REF!</f>
        <v>#REF!</v>
      </c>
      <c r="I12" s="301" t="e">
        <f>ст.223!#REF!</f>
        <v>#REF!</v>
      </c>
      <c r="J12" s="301">
        <f>'ст.225 (2)'!I109</f>
        <v>465187.72</v>
      </c>
      <c r="K12" s="301" t="e">
        <f>'ст.226-227'!#REF!</f>
        <v>#REF!</v>
      </c>
      <c r="L12" s="301" t="e">
        <f>ст.290!#REF!</f>
        <v>#REF!</v>
      </c>
      <c r="M12" s="301" t="e">
        <f>#REF!</f>
        <v>#REF!</v>
      </c>
      <c r="N12" s="301" t="e">
        <f>'ст.340 '!#REF!</f>
        <v>#REF!</v>
      </c>
      <c r="O12" s="53"/>
      <c r="P12" s="53"/>
      <c r="Q12" s="53"/>
      <c r="R12" s="53"/>
      <c r="S12" s="53"/>
      <c r="T12" s="53"/>
      <c r="U12" s="53"/>
      <c r="V12" s="53"/>
      <c r="W12" s="87"/>
      <c r="X12" s="87"/>
      <c r="Y12" s="296"/>
      <c r="Z12" s="296"/>
    </row>
    <row r="13" spans="1:26" ht="30" customHeight="1" x14ac:dyDescent="0.3">
      <c r="A13" s="299" t="s">
        <v>506</v>
      </c>
      <c r="B13" s="299" t="s">
        <v>198</v>
      </c>
      <c r="C13" s="297" t="e">
        <f t="shared" si="0"/>
        <v>#REF!</v>
      </c>
      <c r="D13" s="301">
        <f>'ст.211,212,213 (2)'!J11</f>
        <v>247500</v>
      </c>
      <c r="E13" s="301">
        <f>'ст.211,212,213 (2)'!J16</f>
        <v>0</v>
      </c>
      <c r="F13" s="301">
        <f>'ст.211,212,213 (2)'!J17</f>
        <v>74745</v>
      </c>
      <c r="G13" s="301" t="e">
        <f>ст.221!#REF!</f>
        <v>#REF!</v>
      </c>
      <c r="H13" s="301" t="e">
        <f>ст.222!#REF!</f>
        <v>#REF!</v>
      </c>
      <c r="I13" s="301" t="e">
        <f>ст.223!#REF!</f>
        <v>#REF!</v>
      </c>
      <c r="J13" s="301">
        <f>'ст.225 (2)'!J109</f>
        <v>325502.29000000004</v>
      </c>
      <c r="K13" s="301" t="e">
        <f>'ст.226-227'!#REF!</f>
        <v>#REF!</v>
      </c>
      <c r="L13" s="301" t="e">
        <f>ст.290!#REF!</f>
        <v>#REF!</v>
      </c>
      <c r="M13" s="301" t="e">
        <f>#REF!</f>
        <v>#REF!</v>
      </c>
      <c r="N13" s="301" t="e">
        <f>'ст.340 '!#REF!</f>
        <v>#REF!</v>
      </c>
      <c r="O13" s="53"/>
      <c r="P13" s="53"/>
      <c r="Q13" s="53"/>
      <c r="R13" s="53"/>
      <c r="S13" s="53"/>
      <c r="T13" s="53"/>
      <c r="U13" s="53"/>
      <c r="V13" s="53"/>
      <c r="W13" s="87"/>
      <c r="X13" s="87"/>
      <c r="Y13" s="296"/>
      <c r="Z13" s="296"/>
    </row>
    <row r="14" spans="1:26" ht="30" customHeight="1" x14ac:dyDescent="0.3">
      <c r="A14" s="299" t="s">
        <v>507</v>
      </c>
      <c r="B14" s="299" t="s">
        <v>196</v>
      </c>
      <c r="C14" s="297" t="e">
        <f t="shared" si="0"/>
        <v>#REF!</v>
      </c>
      <c r="D14" s="300">
        <f>'ст.211,212,213 (2)'!K11</f>
        <v>945000</v>
      </c>
      <c r="E14" s="300">
        <f>'ст.211,212,213 (2)'!K16</f>
        <v>0</v>
      </c>
      <c r="F14" s="300">
        <f>'ст.211,212,213 (2)'!K17</f>
        <v>285390</v>
      </c>
      <c r="G14" s="300" t="e">
        <f>ст.221!#REF!</f>
        <v>#REF!</v>
      </c>
      <c r="H14" s="300" t="e">
        <f>ст.222!#REF!</f>
        <v>#REF!</v>
      </c>
      <c r="I14" s="300" t="e">
        <f>ст.223!#REF!</f>
        <v>#REF!</v>
      </c>
      <c r="J14" s="300">
        <f>'ст.225 (2)'!K109</f>
        <v>341453.07</v>
      </c>
      <c r="K14" s="300" t="e">
        <f>'ст.226-227'!#REF!</f>
        <v>#REF!</v>
      </c>
      <c r="L14" s="300" t="e">
        <f>ст.290!#REF!</f>
        <v>#REF!</v>
      </c>
      <c r="M14" s="300" t="e">
        <f>#REF!</f>
        <v>#REF!</v>
      </c>
      <c r="N14" s="300" t="e">
        <f>'ст.340 '!#REF!</f>
        <v>#REF!</v>
      </c>
      <c r="O14" s="53"/>
      <c r="P14" s="53"/>
      <c r="Q14" s="53"/>
      <c r="R14" s="53"/>
      <c r="S14" s="53"/>
      <c r="T14" s="53"/>
      <c r="U14" s="53"/>
      <c r="V14" s="53"/>
      <c r="W14" s="87"/>
      <c r="X14" s="87"/>
      <c r="Y14" s="296"/>
      <c r="Z14" s="296"/>
    </row>
    <row r="15" spans="1:26" ht="30" customHeight="1" x14ac:dyDescent="0.3">
      <c r="A15" s="298"/>
      <c r="B15" s="62" t="s">
        <v>488</v>
      </c>
      <c r="C15" s="297" t="e">
        <f t="shared" ref="C15:N15" si="1">SUM(C7:C14)</f>
        <v>#REF!</v>
      </c>
      <c r="D15" s="297">
        <f t="shared" si="1"/>
        <v>6353266.2000000002</v>
      </c>
      <c r="E15" s="297">
        <f t="shared" si="1"/>
        <v>0</v>
      </c>
      <c r="F15" s="297">
        <f t="shared" si="1"/>
        <v>1918686.3924</v>
      </c>
      <c r="G15" s="297" t="e">
        <f t="shared" si="1"/>
        <v>#REF!</v>
      </c>
      <c r="H15" s="297" t="e">
        <f t="shared" si="1"/>
        <v>#REF!</v>
      </c>
      <c r="I15" s="297" t="e">
        <f t="shared" si="1"/>
        <v>#REF!</v>
      </c>
      <c r="J15" s="297">
        <f t="shared" si="1"/>
        <v>4203718.6228</v>
      </c>
      <c r="K15" s="297" t="e">
        <f t="shared" si="1"/>
        <v>#REF!</v>
      </c>
      <c r="L15" s="297" t="e">
        <f t="shared" si="1"/>
        <v>#REF!</v>
      </c>
      <c r="M15" s="297" t="e">
        <f t="shared" si="1"/>
        <v>#REF!</v>
      </c>
      <c r="N15" s="297" t="e">
        <f t="shared" si="1"/>
        <v>#REF!</v>
      </c>
      <c r="O15" s="160" t="e">
        <f>SUM(D15:N15)</f>
        <v>#REF!</v>
      </c>
      <c r="P15" s="160" t="e">
        <f>O15-C15</f>
        <v>#REF!</v>
      </c>
      <c r="Q15" s="53"/>
      <c r="R15" s="53"/>
      <c r="S15" s="53"/>
      <c r="T15" s="53"/>
      <c r="U15" s="53"/>
      <c r="V15" s="53"/>
      <c r="W15" s="87"/>
      <c r="X15" s="87"/>
      <c r="Y15" s="296"/>
      <c r="Z15" s="296"/>
    </row>
    <row r="16" spans="1:26" x14ac:dyDescent="0.3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160"/>
      <c r="P16" s="53"/>
      <c r="Q16" s="53"/>
      <c r="R16" s="53"/>
      <c r="S16" s="53"/>
      <c r="T16" s="53"/>
      <c r="U16" s="53"/>
      <c r="V16" s="53"/>
      <c r="W16" s="87"/>
      <c r="X16" s="87"/>
      <c r="Y16" s="296"/>
      <c r="Z16" s="296"/>
    </row>
    <row r="17" spans="1:26" x14ac:dyDescent="0.3">
      <c r="A17" s="53"/>
      <c r="B17" s="53" t="s">
        <v>487</v>
      </c>
      <c r="C17" s="160" t="e">
        <f>'ст.211,212,213'!#REF!+'ст.211,212,213'!#REF!+'ст.211,212,213'!#REF!+ст.221!#REF!+ст.222!#REF!+ст.223!#REF!+ст.225!#REF!+'ст.226-227'!#REF!+ст.290!#REF!+ст.310!#REF!+'ст.340 '!#REF!</f>
        <v>#REF!</v>
      </c>
      <c r="D17" s="160" t="e">
        <f>'ст.211,212,213'!#REF!</f>
        <v>#REF!</v>
      </c>
      <c r="E17" s="160" t="e">
        <f>'ст.211,212,213'!#REF!</f>
        <v>#REF!</v>
      </c>
      <c r="F17" s="160" t="e">
        <f>'ст.211,212,213'!#REF!</f>
        <v>#REF!</v>
      </c>
      <c r="G17" s="160" t="e">
        <f>ст.221!#REF!</f>
        <v>#REF!</v>
      </c>
      <c r="H17" s="160" t="e">
        <f>ст.222!#REF!</f>
        <v>#REF!</v>
      </c>
      <c r="I17" s="160" t="e">
        <f>ст.223!#REF!</f>
        <v>#REF!</v>
      </c>
      <c r="J17" s="160" t="e">
        <f>ст.225!#REF!</f>
        <v>#REF!</v>
      </c>
      <c r="K17" s="160" t="e">
        <f>'ст.226-227'!#REF!</f>
        <v>#REF!</v>
      </c>
      <c r="L17" s="160" t="e">
        <f>ст.290!#REF!</f>
        <v>#REF!</v>
      </c>
      <c r="M17" s="160" t="e">
        <f>ст.310!#REF!</f>
        <v>#REF!</v>
      </c>
      <c r="N17" s="160" t="e">
        <f>'ст.340 '!#REF!</f>
        <v>#REF!</v>
      </c>
      <c r="O17" s="53"/>
      <c r="P17" s="53"/>
      <c r="Q17" s="53"/>
      <c r="R17" s="53"/>
      <c r="S17" s="53"/>
      <c r="T17" s="53"/>
      <c r="U17" s="53"/>
      <c r="V17" s="53"/>
      <c r="W17" s="87"/>
      <c r="X17" s="87"/>
      <c r="Y17" s="296"/>
      <c r="Z17" s="296"/>
    </row>
    <row r="18" spans="1:26" x14ac:dyDescent="0.3">
      <c r="A18" s="53"/>
      <c r="B18" s="53"/>
      <c r="C18" s="160" t="e">
        <f t="shared" ref="C18:N18" si="2">C17-C15</f>
        <v>#REF!</v>
      </c>
      <c r="D18" s="160" t="e">
        <f t="shared" si="2"/>
        <v>#REF!</v>
      </c>
      <c r="E18" s="160" t="e">
        <f t="shared" si="2"/>
        <v>#REF!</v>
      </c>
      <c r="F18" s="160" t="e">
        <f t="shared" si="2"/>
        <v>#REF!</v>
      </c>
      <c r="G18" s="160" t="e">
        <f t="shared" si="2"/>
        <v>#REF!</v>
      </c>
      <c r="H18" s="160" t="e">
        <f t="shared" si="2"/>
        <v>#REF!</v>
      </c>
      <c r="I18" s="160" t="e">
        <f t="shared" si="2"/>
        <v>#REF!</v>
      </c>
      <c r="J18" s="160" t="e">
        <f t="shared" si="2"/>
        <v>#REF!</v>
      </c>
      <c r="K18" s="160" t="e">
        <f t="shared" si="2"/>
        <v>#REF!</v>
      </c>
      <c r="L18" s="160" t="e">
        <f t="shared" si="2"/>
        <v>#REF!</v>
      </c>
      <c r="M18" s="160" t="e">
        <f t="shared" si="2"/>
        <v>#REF!</v>
      </c>
      <c r="N18" s="160" t="e">
        <f t="shared" si="2"/>
        <v>#REF!</v>
      </c>
      <c r="O18" s="53"/>
      <c r="P18" s="53"/>
      <c r="Q18" s="53"/>
      <c r="R18" s="53"/>
      <c r="S18" s="53"/>
      <c r="T18" s="53"/>
      <c r="U18" s="53"/>
      <c r="V18" s="53"/>
      <c r="W18" s="87"/>
      <c r="X18" s="87"/>
      <c r="Y18" s="296"/>
      <c r="Z18" s="296"/>
    </row>
    <row r="19" spans="1:26" x14ac:dyDescent="0.3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87"/>
      <c r="X19" s="87"/>
      <c r="Y19" s="296"/>
      <c r="Z19" s="296"/>
    </row>
    <row r="20" spans="1:26" x14ac:dyDescent="0.3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87"/>
      <c r="X20" s="87"/>
      <c r="Y20" s="296"/>
      <c r="Z20" s="296"/>
    </row>
    <row r="21" spans="1:26" x14ac:dyDescent="0.3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87"/>
      <c r="X21" s="87"/>
      <c r="Y21" s="296"/>
      <c r="Z21" s="296"/>
    </row>
    <row r="22" spans="1:26" x14ac:dyDescent="0.3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87"/>
      <c r="X22" s="87"/>
      <c r="Y22" s="296"/>
      <c r="Z22" s="296"/>
    </row>
    <row r="23" spans="1:26" x14ac:dyDescent="0.3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87"/>
      <c r="X23" s="87"/>
      <c r="Y23" s="296"/>
      <c r="Z23" s="296"/>
    </row>
    <row r="24" spans="1:26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87"/>
      <c r="X24" s="87"/>
      <c r="Y24" s="296"/>
      <c r="Z24" s="296"/>
    </row>
    <row r="25" spans="1:26" x14ac:dyDescent="0.3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87"/>
      <c r="X25" s="87"/>
      <c r="Y25" s="296"/>
      <c r="Z25" s="296"/>
    </row>
    <row r="26" spans="1:26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87"/>
      <c r="X26" s="87"/>
      <c r="Y26" s="296"/>
      <c r="Z26" s="296"/>
    </row>
    <row r="27" spans="1:26" x14ac:dyDescent="0.3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87"/>
      <c r="X27" s="87"/>
      <c r="Y27" s="296"/>
      <c r="Z27" s="296"/>
    </row>
    <row r="28" spans="1:26" x14ac:dyDescent="0.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87"/>
      <c r="X28" s="87"/>
      <c r="Y28" s="296"/>
      <c r="Z28" s="296"/>
    </row>
    <row r="29" spans="1:26" x14ac:dyDescent="0.3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87"/>
      <c r="X29" s="87"/>
      <c r="Y29" s="296"/>
      <c r="Z29" s="296"/>
    </row>
    <row r="30" spans="1:26" x14ac:dyDescent="0.3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87"/>
      <c r="X30" s="87"/>
      <c r="Y30" s="296"/>
      <c r="Z30" s="296"/>
    </row>
    <row r="31" spans="1:26" x14ac:dyDescent="0.3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87"/>
      <c r="X31" s="87"/>
      <c r="Y31" s="296"/>
      <c r="Z31" s="296"/>
    </row>
    <row r="32" spans="1:26" x14ac:dyDescent="0.3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87"/>
      <c r="X32" s="87"/>
      <c r="Y32" s="296"/>
      <c r="Z32" s="296"/>
    </row>
    <row r="33" spans="1:26" x14ac:dyDescent="0.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87"/>
      <c r="X33" s="87"/>
      <c r="Y33" s="296"/>
      <c r="Z33" s="296"/>
    </row>
    <row r="34" spans="1:26" x14ac:dyDescent="0.3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87"/>
      <c r="X34" s="87"/>
      <c r="Y34" s="296"/>
      <c r="Z34" s="296"/>
    </row>
    <row r="35" spans="1:26" x14ac:dyDescent="0.3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87"/>
      <c r="X35" s="87"/>
      <c r="Y35" s="296"/>
      <c r="Z35" s="296"/>
    </row>
    <row r="36" spans="1:26" x14ac:dyDescent="0.3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87"/>
      <c r="X36" s="87"/>
      <c r="Y36" s="296"/>
      <c r="Z36" s="296"/>
    </row>
    <row r="37" spans="1:26" x14ac:dyDescent="0.3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87"/>
      <c r="X37" s="87"/>
      <c r="Y37" s="296"/>
      <c r="Z37" s="296"/>
    </row>
    <row r="38" spans="1:26" x14ac:dyDescent="0.3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87"/>
      <c r="X38" s="87"/>
      <c r="Y38" s="296"/>
      <c r="Z38" s="296"/>
    </row>
    <row r="39" spans="1:26" x14ac:dyDescent="0.3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87"/>
      <c r="X39" s="87"/>
      <c r="Y39" s="296"/>
      <c r="Z39" s="296"/>
    </row>
    <row r="40" spans="1:26" x14ac:dyDescent="0.3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87"/>
      <c r="X40" s="87"/>
      <c r="Y40" s="296"/>
      <c r="Z40" s="296"/>
    </row>
    <row r="41" spans="1:26" x14ac:dyDescent="0.3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87"/>
      <c r="X41" s="87"/>
      <c r="Y41" s="296"/>
      <c r="Z41" s="296"/>
    </row>
    <row r="42" spans="1:26" x14ac:dyDescent="0.3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87"/>
      <c r="X42" s="87"/>
      <c r="Y42" s="296"/>
      <c r="Z42" s="296"/>
    </row>
    <row r="43" spans="1:26" x14ac:dyDescent="0.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87"/>
      <c r="X43" s="87"/>
      <c r="Y43" s="296"/>
      <c r="Z43" s="296"/>
    </row>
    <row r="44" spans="1:26" x14ac:dyDescent="0.3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87"/>
      <c r="X44" s="87"/>
      <c r="Y44" s="296"/>
      <c r="Z44" s="296"/>
    </row>
    <row r="45" spans="1:26" x14ac:dyDescent="0.3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87"/>
      <c r="X45" s="87"/>
      <c r="Y45" s="296"/>
      <c r="Z45" s="296"/>
    </row>
    <row r="46" spans="1:26" x14ac:dyDescent="0.3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87"/>
      <c r="X46" s="87"/>
      <c r="Y46" s="296"/>
      <c r="Z46" s="296"/>
    </row>
    <row r="47" spans="1:26" x14ac:dyDescent="0.3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87"/>
      <c r="X47" s="87"/>
      <c r="Y47" s="296"/>
      <c r="Z47" s="296"/>
    </row>
    <row r="48" spans="1:26" x14ac:dyDescent="0.3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87"/>
      <c r="X48" s="87"/>
      <c r="Y48" s="296"/>
      <c r="Z48" s="296"/>
    </row>
    <row r="49" spans="1:26" x14ac:dyDescent="0.3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87"/>
      <c r="X49" s="87"/>
      <c r="Y49" s="296"/>
      <c r="Z49" s="296"/>
    </row>
    <row r="50" spans="1:26" x14ac:dyDescent="0.3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87"/>
      <c r="X50" s="87"/>
      <c r="Y50" s="296"/>
      <c r="Z50" s="296"/>
    </row>
    <row r="51" spans="1:26" x14ac:dyDescent="0.3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87"/>
      <c r="X51" s="87"/>
      <c r="Y51" s="296"/>
      <c r="Z51" s="296"/>
    </row>
    <row r="52" spans="1:26" x14ac:dyDescent="0.3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87"/>
      <c r="X52" s="87"/>
      <c r="Y52" s="296"/>
      <c r="Z52" s="296"/>
    </row>
    <row r="53" spans="1:26" x14ac:dyDescent="0.3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87"/>
      <c r="X53" s="87"/>
      <c r="Y53" s="296"/>
      <c r="Z53" s="296"/>
    </row>
    <row r="54" spans="1:26" x14ac:dyDescent="0.3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87"/>
      <c r="X54" s="87"/>
      <c r="Y54" s="296"/>
      <c r="Z54" s="296"/>
    </row>
    <row r="55" spans="1:26" x14ac:dyDescent="0.3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87"/>
      <c r="X55" s="87"/>
      <c r="Y55" s="296"/>
      <c r="Z55" s="296"/>
    </row>
    <row r="56" spans="1:26" x14ac:dyDescent="0.3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87"/>
      <c r="X56" s="87"/>
      <c r="Y56" s="296"/>
      <c r="Z56" s="296"/>
    </row>
    <row r="57" spans="1:26" x14ac:dyDescent="0.3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87"/>
      <c r="X57" s="87"/>
      <c r="Y57" s="296"/>
      <c r="Z57" s="296"/>
    </row>
    <row r="58" spans="1:26" x14ac:dyDescent="0.3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87"/>
      <c r="X58" s="87"/>
      <c r="Y58" s="296"/>
      <c r="Z58" s="296"/>
    </row>
    <row r="59" spans="1:26" x14ac:dyDescent="0.3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87"/>
      <c r="X59" s="87"/>
      <c r="Y59" s="296"/>
      <c r="Z59" s="296"/>
    </row>
    <row r="60" spans="1:26" x14ac:dyDescent="0.3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87"/>
      <c r="X60" s="87"/>
      <c r="Y60" s="296"/>
      <c r="Z60" s="296"/>
    </row>
    <row r="61" spans="1:26" x14ac:dyDescent="0.3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87"/>
      <c r="X61" s="87"/>
      <c r="Y61" s="296"/>
      <c r="Z61" s="296"/>
    </row>
    <row r="62" spans="1:26" x14ac:dyDescent="0.3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87"/>
      <c r="X62" s="87"/>
      <c r="Y62" s="296"/>
      <c r="Z62" s="296"/>
    </row>
    <row r="63" spans="1:26" x14ac:dyDescent="0.3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87"/>
      <c r="X63" s="87"/>
      <c r="Y63" s="296"/>
      <c r="Z63" s="296"/>
    </row>
    <row r="64" spans="1:26" x14ac:dyDescent="0.3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87"/>
      <c r="X64" s="87"/>
      <c r="Y64" s="296"/>
      <c r="Z64" s="296"/>
    </row>
    <row r="65" spans="1:26" x14ac:dyDescent="0.3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87"/>
      <c r="X65" s="87"/>
      <c r="Y65" s="296"/>
      <c r="Z65" s="296"/>
    </row>
    <row r="66" spans="1:26" x14ac:dyDescent="0.3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87"/>
      <c r="X66" s="87"/>
      <c r="Y66" s="296"/>
      <c r="Z66" s="296"/>
    </row>
    <row r="67" spans="1:26" x14ac:dyDescent="0.3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87"/>
      <c r="X67" s="87"/>
      <c r="Y67" s="296"/>
      <c r="Z67" s="296"/>
    </row>
    <row r="68" spans="1:26" x14ac:dyDescent="0.3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87"/>
      <c r="X68" s="87"/>
      <c r="Y68" s="296"/>
      <c r="Z68" s="296"/>
    </row>
    <row r="69" spans="1:26" x14ac:dyDescent="0.3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87"/>
      <c r="X69" s="87"/>
      <c r="Y69" s="296"/>
      <c r="Z69" s="296"/>
    </row>
    <row r="70" spans="1:26" x14ac:dyDescent="0.3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87"/>
      <c r="X70" s="87"/>
      <c r="Y70" s="296"/>
      <c r="Z70" s="296"/>
    </row>
    <row r="71" spans="1:26" x14ac:dyDescent="0.3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87"/>
      <c r="X71" s="87"/>
      <c r="Y71" s="296"/>
      <c r="Z71" s="296"/>
    </row>
    <row r="72" spans="1:26" x14ac:dyDescent="0.3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87"/>
      <c r="X72" s="87"/>
      <c r="Y72" s="296"/>
      <c r="Z72" s="296"/>
    </row>
    <row r="73" spans="1:26" x14ac:dyDescent="0.3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87"/>
      <c r="X73" s="87"/>
      <c r="Y73" s="296"/>
      <c r="Z73" s="296"/>
    </row>
    <row r="74" spans="1:26" x14ac:dyDescent="0.3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87"/>
      <c r="X74" s="87"/>
      <c r="Y74" s="296"/>
      <c r="Z74" s="296"/>
    </row>
    <row r="75" spans="1:26" x14ac:dyDescent="0.3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87"/>
      <c r="X75" s="87"/>
      <c r="Y75" s="296"/>
      <c r="Z75" s="296"/>
    </row>
    <row r="76" spans="1:26" x14ac:dyDescent="0.3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87"/>
      <c r="X76" s="87"/>
      <c r="Y76" s="296"/>
      <c r="Z76" s="296"/>
    </row>
    <row r="77" spans="1:26" x14ac:dyDescent="0.3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87"/>
      <c r="X77" s="87"/>
      <c r="Y77" s="296"/>
      <c r="Z77" s="296"/>
    </row>
    <row r="78" spans="1:26" x14ac:dyDescent="0.3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87"/>
      <c r="X78" s="87"/>
      <c r="Y78" s="296"/>
      <c r="Z78" s="296"/>
    </row>
    <row r="79" spans="1:26" x14ac:dyDescent="0.3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87"/>
      <c r="X79" s="87"/>
      <c r="Y79" s="296"/>
      <c r="Z79" s="296"/>
    </row>
    <row r="80" spans="1:26" x14ac:dyDescent="0.3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87"/>
      <c r="X80" s="87"/>
      <c r="Y80" s="296"/>
      <c r="Z80" s="296"/>
    </row>
    <row r="81" spans="1:26" x14ac:dyDescent="0.3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87"/>
      <c r="X81" s="87"/>
      <c r="Y81" s="296"/>
      <c r="Z81" s="296"/>
    </row>
    <row r="82" spans="1:26" x14ac:dyDescent="0.3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87"/>
      <c r="X82" s="87"/>
      <c r="Y82" s="296"/>
      <c r="Z82" s="296"/>
    </row>
    <row r="83" spans="1:26" x14ac:dyDescent="0.3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87"/>
      <c r="X83" s="87"/>
      <c r="Y83" s="296"/>
      <c r="Z83" s="296"/>
    </row>
    <row r="84" spans="1:26" x14ac:dyDescent="0.3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87"/>
      <c r="X84" s="87"/>
      <c r="Y84" s="296"/>
      <c r="Z84" s="296"/>
    </row>
    <row r="85" spans="1:26" x14ac:dyDescent="0.3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87"/>
      <c r="X85" s="87"/>
      <c r="Y85" s="296"/>
      <c r="Z85" s="296"/>
    </row>
    <row r="86" spans="1:26" x14ac:dyDescent="0.3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87"/>
      <c r="X86" s="87"/>
      <c r="Y86" s="296"/>
      <c r="Z86" s="296"/>
    </row>
    <row r="87" spans="1:26" x14ac:dyDescent="0.3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87"/>
      <c r="X87" s="87"/>
      <c r="Y87" s="296"/>
      <c r="Z87" s="296"/>
    </row>
    <row r="88" spans="1:26" x14ac:dyDescent="0.3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87"/>
      <c r="X88" s="87"/>
      <c r="Y88" s="296"/>
      <c r="Z88" s="296"/>
    </row>
    <row r="89" spans="1:26" x14ac:dyDescent="0.3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87"/>
      <c r="X89" s="87"/>
      <c r="Y89" s="296"/>
      <c r="Z89" s="296"/>
    </row>
    <row r="90" spans="1:26" x14ac:dyDescent="0.3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87"/>
      <c r="X90" s="87"/>
      <c r="Y90" s="296"/>
      <c r="Z90" s="296"/>
    </row>
    <row r="91" spans="1:26" x14ac:dyDescent="0.3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87"/>
      <c r="X91" s="87"/>
      <c r="Y91" s="296"/>
      <c r="Z91" s="296"/>
    </row>
    <row r="92" spans="1:26" x14ac:dyDescent="0.3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87"/>
      <c r="X92" s="87"/>
      <c r="Y92" s="296"/>
      <c r="Z92" s="296"/>
    </row>
    <row r="93" spans="1:26" x14ac:dyDescent="0.3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87"/>
      <c r="X93" s="87"/>
      <c r="Y93" s="296"/>
      <c r="Z93" s="296"/>
    </row>
    <row r="94" spans="1:26" x14ac:dyDescent="0.3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87"/>
      <c r="X94" s="87"/>
      <c r="Y94" s="296"/>
      <c r="Z94" s="296"/>
    </row>
    <row r="95" spans="1:26" x14ac:dyDescent="0.3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87"/>
      <c r="X95" s="87"/>
      <c r="Y95" s="296"/>
      <c r="Z95" s="296"/>
    </row>
    <row r="96" spans="1:26" x14ac:dyDescent="0.3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87"/>
      <c r="X96" s="87"/>
      <c r="Y96" s="296"/>
      <c r="Z96" s="296"/>
    </row>
    <row r="97" spans="1:26" x14ac:dyDescent="0.3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87"/>
      <c r="X97" s="87"/>
      <c r="Y97" s="296"/>
      <c r="Z97" s="296"/>
    </row>
    <row r="98" spans="1:26" x14ac:dyDescent="0.3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87"/>
      <c r="X98" s="87"/>
      <c r="Y98" s="296"/>
      <c r="Z98" s="296"/>
    </row>
    <row r="99" spans="1:26" x14ac:dyDescent="0.3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87"/>
      <c r="X99" s="87"/>
      <c r="Y99" s="296"/>
      <c r="Z99" s="296"/>
    </row>
    <row r="100" spans="1:26" x14ac:dyDescent="0.3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87"/>
      <c r="X100" s="87"/>
      <c r="Y100" s="296"/>
      <c r="Z100" s="296"/>
    </row>
    <row r="101" spans="1:26" x14ac:dyDescent="0.3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87"/>
      <c r="X101" s="87"/>
      <c r="Y101" s="296"/>
      <c r="Z101" s="296"/>
    </row>
    <row r="102" spans="1:26" x14ac:dyDescent="0.3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87"/>
      <c r="X102" s="87"/>
      <c r="Y102" s="296"/>
      <c r="Z102" s="296"/>
    </row>
    <row r="103" spans="1:26" x14ac:dyDescent="0.3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87"/>
      <c r="X103" s="87"/>
      <c r="Y103" s="296"/>
      <c r="Z103" s="296"/>
    </row>
    <row r="104" spans="1:26" x14ac:dyDescent="0.3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87"/>
      <c r="X104" s="87"/>
      <c r="Y104" s="296"/>
      <c r="Z104" s="296"/>
    </row>
    <row r="105" spans="1:26" x14ac:dyDescent="0.3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296"/>
      <c r="Z105" s="296"/>
    </row>
    <row r="106" spans="1:26" x14ac:dyDescent="0.3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296"/>
      <c r="Z106" s="296"/>
    </row>
    <row r="107" spans="1:26" x14ac:dyDescent="0.3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296"/>
      <c r="Z107" s="296"/>
    </row>
    <row r="108" spans="1:26" x14ac:dyDescent="0.3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296"/>
      <c r="Z108" s="296"/>
    </row>
    <row r="109" spans="1:26" x14ac:dyDescent="0.3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296"/>
      <c r="Z109" s="296"/>
    </row>
    <row r="110" spans="1:26" x14ac:dyDescent="0.3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296"/>
      <c r="Z110" s="296"/>
    </row>
    <row r="111" spans="1:26" x14ac:dyDescent="0.3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296"/>
      <c r="Z111" s="296"/>
    </row>
    <row r="112" spans="1:26" x14ac:dyDescent="0.3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296"/>
      <c r="Z112" s="296"/>
    </row>
    <row r="113" spans="1:26" x14ac:dyDescent="0.3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296"/>
      <c r="Z113" s="296"/>
    </row>
    <row r="114" spans="1:26" x14ac:dyDescent="0.3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296"/>
      <c r="Z114" s="296"/>
    </row>
    <row r="115" spans="1:26" x14ac:dyDescent="0.3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296"/>
      <c r="Z115" s="296"/>
    </row>
    <row r="116" spans="1:26" x14ac:dyDescent="0.3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296"/>
      <c r="Z116" s="296"/>
    </row>
    <row r="117" spans="1:26" x14ac:dyDescent="0.3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296"/>
      <c r="Z117" s="296"/>
    </row>
    <row r="118" spans="1:26" x14ac:dyDescent="0.3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296"/>
      <c r="Z118" s="296"/>
    </row>
    <row r="119" spans="1:26" x14ac:dyDescent="0.3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296"/>
      <c r="Z119" s="296"/>
    </row>
    <row r="120" spans="1:26" x14ac:dyDescent="0.3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296"/>
      <c r="Z120" s="296"/>
    </row>
    <row r="121" spans="1:26" x14ac:dyDescent="0.3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296"/>
      <c r="Z121" s="296"/>
    </row>
    <row r="122" spans="1:26" x14ac:dyDescent="0.3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296"/>
      <c r="Z122" s="296"/>
    </row>
    <row r="123" spans="1:26" x14ac:dyDescent="0.3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296"/>
      <c r="Z123" s="296"/>
    </row>
    <row r="124" spans="1:26" x14ac:dyDescent="0.3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296"/>
      <c r="Z124" s="296"/>
    </row>
    <row r="125" spans="1:26" x14ac:dyDescent="0.3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296"/>
      <c r="Z125" s="296"/>
    </row>
    <row r="126" spans="1:26" x14ac:dyDescent="0.3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296"/>
      <c r="Z126" s="296"/>
    </row>
    <row r="127" spans="1:26" x14ac:dyDescent="0.3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296"/>
      <c r="Z127" s="296"/>
    </row>
    <row r="128" spans="1:26" x14ac:dyDescent="0.3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296"/>
      <c r="Z128" s="296"/>
    </row>
    <row r="129" spans="1:26" x14ac:dyDescent="0.3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296"/>
      <c r="Z129" s="296"/>
    </row>
    <row r="130" spans="1:26" x14ac:dyDescent="0.3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296"/>
      <c r="Z130" s="296"/>
    </row>
    <row r="131" spans="1:26" x14ac:dyDescent="0.3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296"/>
      <c r="Z131" s="296"/>
    </row>
    <row r="132" spans="1:26" x14ac:dyDescent="0.3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296"/>
      <c r="Z132" s="296"/>
    </row>
    <row r="133" spans="1:26" x14ac:dyDescent="0.3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296"/>
      <c r="Z133" s="296"/>
    </row>
    <row r="134" spans="1:26" x14ac:dyDescent="0.3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296"/>
      <c r="Z134" s="296"/>
    </row>
    <row r="135" spans="1:26" x14ac:dyDescent="0.3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296"/>
      <c r="Z135" s="296"/>
    </row>
    <row r="136" spans="1:26" x14ac:dyDescent="0.3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296"/>
      <c r="Z136" s="296"/>
    </row>
    <row r="137" spans="1:26" x14ac:dyDescent="0.3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296"/>
      <c r="Z137" s="296"/>
    </row>
    <row r="138" spans="1:26" x14ac:dyDescent="0.3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296"/>
      <c r="Z138" s="296"/>
    </row>
    <row r="139" spans="1:26" x14ac:dyDescent="0.3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296"/>
      <c r="Z139" s="296"/>
    </row>
    <row r="140" spans="1:26" x14ac:dyDescent="0.3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296"/>
      <c r="Z140" s="296"/>
    </row>
    <row r="141" spans="1:26" x14ac:dyDescent="0.3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296"/>
      <c r="Z141" s="296"/>
    </row>
    <row r="142" spans="1:26" x14ac:dyDescent="0.3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296"/>
      <c r="Z142" s="296"/>
    </row>
    <row r="143" spans="1:26" x14ac:dyDescent="0.3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296"/>
      <c r="Z143" s="296"/>
    </row>
    <row r="144" spans="1:26" x14ac:dyDescent="0.3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296"/>
      <c r="Z144" s="296"/>
    </row>
    <row r="145" spans="1:26" x14ac:dyDescent="0.3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296"/>
      <c r="Z145" s="296"/>
    </row>
    <row r="146" spans="1:26" x14ac:dyDescent="0.3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296"/>
      <c r="Z146" s="296"/>
    </row>
    <row r="147" spans="1:26" x14ac:dyDescent="0.3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296"/>
      <c r="Z147" s="296"/>
    </row>
    <row r="148" spans="1:26" x14ac:dyDescent="0.3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296"/>
      <c r="Z148" s="296"/>
    </row>
    <row r="149" spans="1:26" x14ac:dyDescent="0.3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296"/>
      <c r="Z149" s="296"/>
    </row>
    <row r="150" spans="1:26" x14ac:dyDescent="0.3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296"/>
      <c r="Z150" s="296"/>
    </row>
    <row r="151" spans="1:26" x14ac:dyDescent="0.3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296"/>
      <c r="Z151" s="296"/>
    </row>
    <row r="152" spans="1:26" x14ac:dyDescent="0.3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296"/>
      <c r="Z152" s="296"/>
    </row>
    <row r="153" spans="1:26" x14ac:dyDescent="0.3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296"/>
      <c r="Z153" s="296"/>
    </row>
    <row r="154" spans="1:26" x14ac:dyDescent="0.3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296"/>
      <c r="Z154" s="296"/>
    </row>
    <row r="155" spans="1:2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6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6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6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</sheetData>
  <mergeCells count="4">
    <mergeCell ref="A2:O2"/>
    <mergeCell ref="A5:A6"/>
    <mergeCell ref="B5:B6"/>
    <mergeCell ref="C5:Q5"/>
  </mergeCells>
  <conditionalFormatting sqref="C18:N18">
    <cfRule type="cellIs" dxfId="5" priority="4" operator="lessThan">
      <formula>0</formula>
    </cfRule>
    <cfRule type="cellIs" dxfId="4" priority="5" operator="greaterThan">
      <formula>0</formula>
    </cfRule>
    <cfRule type="cellIs" dxfId="3" priority="6" operator="equal">
      <formula>0</formula>
    </cfRule>
  </conditionalFormatting>
  <conditionalFormatting sqref="P15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4"/>
  <sheetViews>
    <sheetView view="pageBreakPreview" zoomScale="90" zoomScaleSheetLayoutView="90" workbookViewId="0">
      <selection activeCell="J7" sqref="J7"/>
    </sheetView>
  </sheetViews>
  <sheetFormatPr defaultColWidth="9.109375" defaultRowHeight="14.4" x14ac:dyDescent="0.3"/>
  <cols>
    <col min="1" max="1" width="5.109375" style="184" customWidth="1"/>
    <col min="2" max="2" width="22.109375" style="184" customWidth="1"/>
    <col min="3" max="3" width="12" style="184" bestFit="1" customWidth="1"/>
    <col min="4" max="4" width="10.33203125" style="184" customWidth="1"/>
    <col min="5" max="5" width="10.109375" style="184" bestFit="1" customWidth="1"/>
    <col min="6" max="6" width="11" style="184" customWidth="1"/>
    <col min="7" max="8" width="10.109375" style="184" bestFit="1" customWidth="1"/>
    <col min="9" max="9" width="9" style="184" customWidth="1"/>
    <col min="10" max="11" width="11.109375" style="184" bestFit="1" customWidth="1"/>
    <col min="12" max="12" width="11.109375" style="184" customWidth="1"/>
    <col min="13" max="14" width="11.109375" style="184" bestFit="1" customWidth="1"/>
    <col min="15" max="15" width="13.33203125" style="184" customWidth="1"/>
    <col min="16" max="16" width="10.88671875" style="184" bestFit="1" customWidth="1"/>
    <col min="17" max="16384" width="9.109375" style="184"/>
  </cols>
  <sheetData>
    <row r="1" spans="1:27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87"/>
      <c r="Y1" s="87"/>
      <c r="Z1" s="296"/>
      <c r="AA1" s="296"/>
    </row>
    <row r="2" spans="1:27" ht="18" x14ac:dyDescent="0.3">
      <c r="A2" s="442" t="s">
        <v>542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53"/>
      <c r="R2" s="53"/>
      <c r="S2" s="53"/>
      <c r="T2" s="53"/>
      <c r="U2" s="53"/>
      <c r="V2" s="53"/>
      <c r="W2" s="53"/>
      <c r="X2" s="87"/>
      <c r="Y2" s="87"/>
      <c r="Z2" s="296"/>
      <c r="AA2" s="296"/>
    </row>
    <row r="3" spans="1:27" x14ac:dyDescent="0.3">
      <c r="A3" s="53"/>
      <c r="B3" s="318"/>
      <c r="C3" s="318"/>
      <c r="D3" s="318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87"/>
      <c r="Y3" s="87"/>
      <c r="Z3" s="296"/>
      <c r="AA3" s="296"/>
    </row>
    <row r="4" spans="1:27" x14ac:dyDescent="0.3">
      <c r="A4" s="53"/>
      <c r="B4" s="318"/>
      <c r="C4" s="318"/>
      <c r="D4" s="318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87"/>
      <c r="Y4" s="87"/>
      <c r="Z4" s="296"/>
      <c r="AA4" s="296"/>
    </row>
    <row r="5" spans="1:27" ht="15" customHeight="1" x14ac:dyDescent="0.3">
      <c r="A5" s="443"/>
      <c r="B5" s="445" t="s">
        <v>499</v>
      </c>
      <c r="C5" s="447" t="s">
        <v>518</v>
      </c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9"/>
      <c r="S5" s="53"/>
      <c r="T5" s="53"/>
      <c r="U5" s="53"/>
      <c r="V5" s="53"/>
      <c r="W5" s="53"/>
      <c r="X5" s="87"/>
      <c r="Y5" s="87"/>
      <c r="Z5" s="296"/>
      <c r="AA5" s="296"/>
    </row>
    <row r="6" spans="1:27" ht="30" customHeight="1" x14ac:dyDescent="0.3">
      <c r="A6" s="444"/>
      <c r="B6" s="446"/>
      <c r="C6" s="302" t="s">
        <v>498</v>
      </c>
      <c r="D6" s="299" t="s">
        <v>497</v>
      </c>
      <c r="E6" s="299" t="s">
        <v>496</v>
      </c>
      <c r="F6" s="299" t="s">
        <v>495</v>
      </c>
      <c r="G6" s="299" t="s">
        <v>494</v>
      </c>
      <c r="H6" s="299" t="s">
        <v>493</v>
      </c>
      <c r="I6" s="299" t="s">
        <v>492</v>
      </c>
      <c r="J6" s="299" t="s">
        <v>181</v>
      </c>
      <c r="K6" s="299" t="s">
        <v>472</v>
      </c>
      <c r="L6" s="350" t="s">
        <v>546</v>
      </c>
      <c r="M6" s="299" t="s">
        <v>491</v>
      </c>
      <c r="N6" s="299" t="s">
        <v>490</v>
      </c>
      <c r="O6" s="299" t="s">
        <v>489</v>
      </c>
      <c r="P6" s="53"/>
      <c r="Q6" s="53"/>
      <c r="R6" s="53"/>
      <c r="S6" s="53"/>
      <c r="T6" s="53"/>
      <c r="U6" s="53"/>
      <c r="V6" s="53"/>
      <c r="W6" s="53"/>
      <c r="X6" s="87"/>
      <c r="Y6" s="87"/>
      <c r="Z6" s="296"/>
      <c r="AA6" s="296"/>
    </row>
    <row r="7" spans="1:27" ht="30" customHeight="1" x14ac:dyDescent="0.3">
      <c r="A7" s="299" t="s">
        <v>500</v>
      </c>
      <c r="B7" s="352" t="s">
        <v>191</v>
      </c>
      <c r="C7" s="356">
        <f t="shared" ref="C7:C14" si="0">SUM(D7:O7)</f>
        <v>0</v>
      </c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54"/>
      <c r="O7" s="301"/>
      <c r="P7" s="53"/>
      <c r="Q7" s="53"/>
      <c r="R7" s="53"/>
      <c r="S7" s="53"/>
      <c r="T7" s="53"/>
      <c r="U7" s="53"/>
      <c r="V7" s="53"/>
      <c r="W7" s="53"/>
      <c r="X7" s="87"/>
      <c r="Y7" s="87"/>
      <c r="Z7" s="296"/>
      <c r="AA7" s="296"/>
    </row>
    <row r="8" spans="1:27" ht="30" customHeight="1" x14ac:dyDescent="0.3">
      <c r="A8" s="299" t="s">
        <v>501</v>
      </c>
      <c r="B8" s="352" t="s">
        <v>192</v>
      </c>
      <c r="C8" s="356">
        <f t="shared" si="0"/>
        <v>885572.12</v>
      </c>
      <c r="D8" s="354"/>
      <c r="E8" s="354"/>
      <c r="F8" s="354"/>
      <c r="G8" s="354"/>
      <c r="H8" s="354"/>
      <c r="I8" s="354"/>
      <c r="J8" s="354">
        <f>158244.31+164527.28+36066.53</f>
        <v>358838.12</v>
      </c>
      <c r="K8" s="354"/>
      <c r="L8" s="354"/>
      <c r="M8" s="354"/>
      <c r="N8" s="354">
        <f>100000+26000+9100+9990+4794+6000+24750+52800+43300+250000</f>
        <v>526734</v>
      </c>
      <c r="O8" s="301"/>
      <c r="P8" s="356">
        <v>350000</v>
      </c>
      <c r="Q8" s="356">
        <v>526000</v>
      </c>
      <c r="R8" s="53"/>
      <c r="S8" s="53"/>
      <c r="T8" s="53"/>
      <c r="U8" s="53"/>
      <c r="V8" s="53"/>
      <c r="W8" s="53"/>
      <c r="X8" s="87"/>
      <c r="Y8" s="87"/>
      <c r="Z8" s="296"/>
      <c r="AA8" s="296"/>
    </row>
    <row r="9" spans="1:27" ht="30" customHeight="1" x14ac:dyDescent="0.3">
      <c r="A9" s="299" t="s">
        <v>502</v>
      </c>
      <c r="B9" s="352" t="s">
        <v>193</v>
      </c>
      <c r="C9" s="356">
        <f t="shared" si="0"/>
        <v>908076.48</v>
      </c>
      <c r="D9" s="354">
        <v>582240</v>
      </c>
      <c r="E9" s="354">
        <v>175836.48</v>
      </c>
      <c r="F9" s="354"/>
      <c r="G9" s="354"/>
      <c r="H9" s="354"/>
      <c r="I9" s="354"/>
      <c r="J9" s="356">
        <v>100000</v>
      </c>
      <c r="K9" s="356">
        <v>50000</v>
      </c>
      <c r="L9" s="354"/>
      <c r="M9" s="354"/>
      <c r="N9" s="354"/>
      <c r="O9" s="301"/>
      <c r="P9" s="53"/>
      <c r="Q9" s="53"/>
      <c r="R9" s="53"/>
      <c r="S9" s="53"/>
      <c r="T9" s="53"/>
      <c r="U9" s="53"/>
      <c r="V9" s="53"/>
      <c r="W9" s="53"/>
      <c r="X9" s="87"/>
      <c r="Y9" s="87"/>
      <c r="Z9" s="296"/>
      <c r="AA9" s="296"/>
    </row>
    <row r="10" spans="1:27" ht="30" customHeight="1" x14ac:dyDescent="0.3">
      <c r="A10" s="299" t="s">
        <v>503</v>
      </c>
      <c r="B10" s="352" t="s">
        <v>194</v>
      </c>
      <c r="C10" s="356">
        <f t="shared" si="0"/>
        <v>0</v>
      </c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01"/>
      <c r="P10" s="53"/>
      <c r="Q10" s="53"/>
      <c r="R10" s="53"/>
      <c r="S10" s="53"/>
      <c r="T10" s="53"/>
      <c r="U10" s="53"/>
      <c r="V10" s="53"/>
      <c r="W10" s="53"/>
      <c r="X10" s="87"/>
      <c r="Y10" s="87"/>
      <c r="Z10" s="296"/>
      <c r="AA10" s="296"/>
    </row>
    <row r="11" spans="1:27" ht="30" customHeight="1" x14ac:dyDescent="0.3">
      <c r="A11" s="299" t="s">
        <v>504</v>
      </c>
      <c r="B11" s="352" t="s">
        <v>195</v>
      </c>
      <c r="C11" s="356">
        <f t="shared" si="0"/>
        <v>40000</v>
      </c>
      <c r="D11" s="354"/>
      <c r="E11" s="354"/>
      <c r="F11" s="354"/>
      <c r="G11" s="354"/>
      <c r="H11" s="354"/>
      <c r="I11" s="354"/>
      <c r="J11" s="354"/>
      <c r="K11" s="354"/>
      <c r="L11" s="356">
        <v>40000</v>
      </c>
      <c r="M11" s="354"/>
      <c r="N11" s="354"/>
      <c r="O11" s="301"/>
      <c r="P11" s="53"/>
      <c r="Q11" s="53"/>
      <c r="R11" s="53"/>
      <c r="S11" s="53"/>
      <c r="T11" s="53"/>
      <c r="U11" s="53"/>
      <c r="V11" s="53"/>
      <c r="W11" s="53"/>
      <c r="X11" s="87"/>
      <c r="Y11" s="87"/>
      <c r="Z11" s="296"/>
      <c r="AA11" s="296"/>
    </row>
    <row r="12" spans="1:27" ht="30" customHeight="1" x14ac:dyDescent="0.3">
      <c r="A12" s="299" t="s">
        <v>505</v>
      </c>
      <c r="B12" s="352" t="s">
        <v>197</v>
      </c>
      <c r="C12" s="356">
        <f t="shared" si="0"/>
        <v>0</v>
      </c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01"/>
      <c r="P12" s="53"/>
      <c r="Q12" s="53"/>
      <c r="R12" s="53"/>
      <c r="S12" s="53"/>
      <c r="T12" s="53"/>
      <c r="U12" s="53"/>
      <c r="V12" s="53"/>
      <c r="W12" s="53"/>
      <c r="X12" s="87"/>
      <c r="Y12" s="87"/>
      <c r="Z12" s="296"/>
      <c r="AA12" s="296"/>
    </row>
    <row r="13" spans="1:27" ht="30" customHeight="1" x14ac:dyDescent="0.3">
      <c r="A13" s="299" t="s">
        <v>506</v>
      </c>
      <c r="B13" s="352" t="s">
        <v>198</v>
      </c>
      <c r="C13" s="297">
        <f t="shared" si="0"/>
        <v>60000</v>
      </c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54">
        <v>60000</v>
      </c>
      <c r="O13" s="301"/>
      <c r="P13" s="53"/>
      <c r="Q13" s="53"/>
      <c r="R13" s="53"/>
      <c r="S13" s="53"/>
      <c r="T13" s="53"/>
      <c r="U13" s="53"/>
      <c r="V13" s="53"/>
      <c r="W13" s="53"/>
      <c r="X13" s="87"/>
      <c r="Y13" s="87"/>
      <c r="Z13" s="296"/>
      <c r="AA13" s="296"/>
    </row>
    <row r="14" spans="1:27" ht="30" customHeight="1" x14ac:dyDescent="0.3">
      <c r="A14" s="299" t="s">
        <v>507</v>
      </c>
      <c r="B14" s="299" t="s">
        <v>196</v>
      </c>
      <c r="C14" s="297">
        <f t="shared" si="0"/>
        <v>107200</v>
      </c>
      <c r="D14" s="300"/>
      <c r="E14" s="300"/>
      <c r="F14" s="300"/>
      <c r="G14" s="300"/>
      <c r="H14" s="300"/>
      <c r="I14" s="300"/>
      <c r="J14" s="300">
        <v>62350</v>
      </c>
      <c r="K14" s="300"/>
      <c r="L14" s="300"/>
      <c r="M14" s="300"/>
      <c r="N14" s="354">
        <f>29240+3190+12420</f>
        <v>44850</v>
      </c>
      <c r="O14" s="300"/>
      <c r="P14" s="353">
        <v>47350</v>
      </c>
      <c r="Q14" s="53"/>
      <c r="R14" s="53"/>
      <c r="S14" s="53"/>
      <c r="T14" s="53"/>
      <c r="U14" s="53"/>
      <c r="V14" s="53"/>
      <c r="W14" s="53"/>
      <c r="X14" s="87"/>
      <c r="Y14" s="87"/>
      <c r="Z14" s="296"/>
      <c r="AA14" s="296"/>
    </row>
    <row r="15" spans="1:27" ht="30" customHeight="1" x14ac:dyDescent="0.3">
      <c r="A15" s="298"/>
      <c r="B15" s="62" t="s">
        <v>488</v>
      </c>
      <c r="C15" s="297">
        <f t="shared" ref="C15:O15" si="1">SUM(C7:C14)</f>
        <v>2000848.6</v>
      </c>
      <c r="D15" s="297">
        <f t="shared" si="1"/>
        <v>582240</v>
      </c>
      <c r="E15" s="297">
        <f t="shared" si="1"/>
        <v>175836.48</v>
      </c>
      <c r="F15" s="297">
        <f t="shared" si="1"/>
        <v>0</v>
      </c>
      <c r="G15" s="297">
        <f t="shared" si="1"/>
        <v>0</v>
      </c>
      <c r="H15" s="297">
        <f t="shared" si="1"/>
        <v>0</v>
      </c>
      <c r="I15" s="297">
        <f t="shared" si="1"/>
        <v>0</v>
      </c>
      <c r="J15" s="297">
        <f t="shared" si="1"/>
        <v>521188.12</v>
      </c>
      <c r="K15" s="297">
        <f t="shared" si="1"/>
        <v>50000</v>
      </c>
      <c r="L15" s="297"/>
      <c r="M15" s="297">
        <f t="shared" si="1"/>
        <v>0</v>
      </c>
      <c r="N15" s="297">
        <f t="shared" si="1"/>
        <v>631584</v>
      </c>
      <c r="O15" s="297">
        <f t="shared" si="1"/>
        <v>0</v>
      </c>
      <c r="P15" s="160">
        <f>SUM(D15:O15)</f>
        <v>1960848.6</v>
      </c>
      <c r="Q15" s="160">
        <f>P15-C15</f>
        <v>-40000</v>
      </c>
      <c r="R15" s="53"/>
      <c r="S15" s="53"/>
      <c r="T15" s="53"/>
      <c r="U15" s="53"/>
      <c r="V15" s="53"/>
      <c r="W15" s="53"/>
      <c r="X15" s="87"/>
      <c r="Y15" s="87"/>
      <c r="Z15" s="296"/>
      <c r="AA15" s="296"/>
    </row>
    <row r="16" spans="1:27" x14ac:dyDescent="0.3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60"/>
      <c r="Q16" s="53"/>
      <c r="R16" s="53"/>
      <c r="S16" s="53"/>
      <c r="T16" s="53"/>
      <c r="U16" s="53"/>
      <c r="V16" s="53"/>
      <c r="W16" s="53"/>
      <c r="X16" s="87"/>
      <c r="Y16" s="87"/>
      <c r="Z16" s="296"/>
      <c r="AA16" s="296"/>
    </row>
    <row r="17" spans="1:27" x14ac:dyDescent="0.3">
      <c r="A17" s="53"/>
      <c r="B17" s="53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53"/>
      <c r="Q17" s="53"/>
      <c r="R17" s="53"/>
      <c r="S17" s="53"/>
      <c r="T17" s="53"/>
      <c r="U17" s="53"/>
      <c r="V17" s="53"/>
      <c r="W17" s="53"/>
      <c r="X17" s="87"/>
      <c r="Y17" s="87"/>
      <c r="Z17" s="296"/>
      <c r="AA17" s="296"/>
    </row>
    <row r="18" spans="1:27" x14ac:dyDescent="0.3">
      <c r="A18" s="53"/>
      <c r="B18" s="53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53"/>
      <c r="Q18" s="53"/>
      <c r="R18" s="53"/>
      <c r="S18" s="53"/>
      <c r="T18" s="53"/>
      <c r="U18" s="53"/>
      <c r="V18" s="53"/>
      <c r="W18" s="53"/>
      <c r="X18" s="87"/>
      <c r="Y18" s="87"/>
      <c r="Z18" s="296"/>
      <c r="AA18" s="296"/>
    </row>
    <row r="19" spans="1:27" x14ac:dyDescent="0.3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87"/>
      <c r="Y19" s="87"/>
      <c r="Z19" s="296"/>
      <c r="AA19" s="296"/>
    </row>
    <row r="20" spans="1:27" x14ac:dyDescent="0.3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87"/>
      <c r="Y20" s="87"/>
      <c r="Z20" s="296"/>
      <c r="AA20" s="296"/>
    </row>
    <row r="21" spans="1:27" x14ac:dyDescent="0.3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87"/>
      <c r="Y21" s="87"/>
      <c r="Z21" s="296"/>
      <c r="AA21" s="296"/>
    </row>
    <row r="22" spans="1:27" x14ac:dyDescent="0.3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87"/>
      <c r="Y22" s="87"/>
      <c r="Z22" s="296"/>
      <c r="AA22" s="296"/>
    </row>
    <row r="23" spans="1:27" x14ac:dyDescent="0.3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87"/>
      <c r="Y23" s="87"/>
      <c r="Z23" s="296"/>
      <c r="AA23" s="296"/>
    </row>
    <row r="24" spans="1:27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87"/>
      <c r="Y24" s="87"/>
      <c r="Z24" s="296"/>
      <c r="AA24" s="296"/>
    </row>
    <row r="25" spans="1:27" x14ac:dyDescent="0.3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87"/>
      <c r="Y25" s="87"/>
      <c r="Z25" s="296"/>
      <c r="AA25" s="296"/>
    </row>
    <row r="26" spans="1:27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87"/>
      <c r="Y26" s="87"/>
      <c r="Z26" s="296"/>
      <c r="AA26" s="296"/>
    </row>
    <row r="27" spans="1:27" x14ac:dyDescent="0.3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87"/>
      <c r="Y27" s="87"/>
      <c r="Z27" s="296"/>
      <c r="AA27" s="296"/>
    </row>
    <row r="28" spans="1:27" x14ac:dyDescent="0.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87"/>
      <c r="Y28" s="87"/>
      <c r="Z28" s="296"/>
      <c r="AA28" s="296"/>
    </row>
    <row r="29" spans="1:27" x14ac:dyDescent="0.3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87"/>
      <c r="Y29" s="87"/>
      <c r="Z29" s="296"/>
      <c r="AA29" s="296"/>
    </row>
    <row r="30" spans="1:27" x14ac:dyDescent="0.3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87"/>
      <c r="Y30" s="87"/>
      <c r="Z30" s="296"/>
      <c r="AA30" s="296"/>
    </row>
    <row r="31" spans="1:27" x14ac:dyDescent="0.3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87"/>
      <c r="Y31" s="87"/>
      <c r="Z31" s="296"/>
      <c r="AA31" s="296"/>
    </row>
    <row r="32" spans="1:27" x14ac:dyDescent="0.3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87"/>
      <c r="Y32" s="87"/>
      <c r="Z32" s="296"/>
      <c r="AA32" s="296"/>
    </row>
    <row r="33" spans="1:27" x14ac:dyDescent="0.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87"/>
      <c r="Y33" s="87"/>
      <c r="Z33" s="296"/>
      <c r="AA33" s="296"/>
    </row>
    <row r="34" spans="1:27" x14ac:dyDescent="0.3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87"/>
      <c r="Y34" s="87"/>
      <c r="Z34" s="296"/>
      <c r="AA34" s="296"/>
    </row>
    <row r="35" spans="1:27" x14ac:dyDescent="0.3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87"/>
      <c r="Y35" s="87"/>
      <c r="Z35" s="296"/>
      <c r="AA35" s="296"/>
    </row>
    <row r="36" spans="1:27" x14ac:dyDescent="0.3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87"/>
      <c r="Y36" s="87"/>
      <c r="Z36" s="296"/>
      <c r="AA36" s="296"/>
    </row>
    <row r="37" spans="1:27" x14ac:dyDescent="0.3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87"/>
      <c r="Y37" s="87"/>
      <c r="Z37" s="296"/>
      <c r="AA37" s="296"/>
    </row>
    <row r="38" spans="1:27" x14ac:dyDescent="0.3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87"/>
      <c r="Y38" s="87"/>
      <c r="Z38" s="296"/>
      <c r="AA38" s="296"/>
    </row>
    <row r="39" spans="1:27" x14ac:dyDescent="0.3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87"/>
      <c r="Y39" s="87"/>
      <c r="Z39" s="296"/>
      <c r="AA39" s="296"/>
    </row>
    <row r="40" spans="1:27" x14ac:dyDescent="0.3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87"/>
      <c r="Y40" s="87"/>
      <c r="Z40" s="296"/>
      <c r="AA40" s="296"/>
    </row>
    <row r="41" spans="1:27" x14ac:dyDescent="0.3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87"/>
      <c r="Y41" s="87"/>
      <c r="Z41" s="296"/>
      <c r="AA41" s="296"/>
    </row>
    <row r="42" spans="1:27" x14ac:dyDescent="0.3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87"/>
      <c r="Y42" s="87"/>
      <c r="Z42" s="296"/>
      <c r="AA42" s="296"/>
    </row>
    <row r="43" spans="1:27" x14ac:dyDescent="0.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87"/>
      <c r="Y43" s="87"/>
      <c r="Z43" s="296"/>
      <c r="AA43" s="296"/>
    </row>
    <row r="44" spans="1:27" x14ac:dyDescent="0.3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87"/>
      <c r="Y44" s="87"/>
      <c r="Z44" s="296"/>
      <c r="AA44" s="296"/>
    </row>
    <row r="45" spans="1:27" x14ac:dyDescent="0.3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87"/>
      <c r="Y45" s="87"/>
      <c r="Z45" s="296"/>
      <c r="AA45" s="296"/>
    </row>
    <row r="46" spans="1:27" x14ac:dyDescent="0.3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87"/>
      <c r="Y46" s="87"/>
      <c r="Z46" s="296"/>
      <c r="AA46" s="296"/>
    </row>
    <row r="47" spans="1:27" x14ac:dyDescent="0.3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87"/>
      <c r="Y47" s="87"/>
      <c r="Z47" s="296"/>
      <c r="AA47" s="296"/>
    </row>
    <row r="48" spans="1:27" x14ac:dyDescent="0.3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87"/>
      <c r="Y48" s="87"/>
      <c r="Z48" s="296"/>
      <c r="AA48" s="296"/>
    </row>
    <row r="49" spans="1:27" x14ac:dyDescent="0.3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87"/>
      <c r="Y49" s="87"/>
      <c r="Z49" s="296"/>
      <c r="AA49" s="296"/>
    </row>
    <row r="50" spans="1:27" x14ac:dyDescent="0.3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87"/>
      <c r="Y50" s="87"/>
      <c r="Z50" s="296"/>
      <c r="AA50" s="296"/>
    </row>
    <row r="51" spans="1:27" x14ac:dyDescent="0.3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87"/>
      <c r="Y51" s="87"/>
      <c r="Z51" s="296"/>
      <c r="AA51" s="296"/>
    </row>
    <row r="52" spans="1:27" x14ac:dyDescent="0.3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87"/>
      <c r="Y52" s="87"/>
      <c r="Z52" s="296"/>
      <c r="AA52" s="296"/>
    </row>
    <row r="53" spans="1:27" x14ac:dyDescent="0.3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87"/>
      <c r="Y53" s="87"/>
      <c r="Z53" s="296"/>
      <c r="AA53" s="296"/>
    </row>
    <row r="54" spans="1:27" x14ac:dyDescent="0.3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87"/>
      <c r="Y54" s="87"/>
      <c r="Z54" s="296"/>
      <c r="AA54" s="296"/>
    </row>
    <row r="55" spans="1:27" x14ac:dyDescent="0.3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87"/>
      <c r="Y55" s="87"/>
      <c r="Z55" s="296"/>
      <c r="AA55" s="296"/>
    </row>
    <row r="56" spans="1:27" x14ac:dyDescent="0.3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87"/>
      <c r="Y56" s="87"/>
      <c r="Z56" s="296"/>
      <c r="AA56" s="296"/>
    </row>
    <row r="57" spans="1:27" x14ac:dyDescent="0.3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87"/>
      <c r="Y57" s="87"/>
      <c r="Z57" s="296"/>
      <c r="AA57" s="296"/>
    </row>
    <row r="58" spans="1:27" x14ac:dyDescent="0.3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87"/>
      <c r="Y58" s="87"/>
      <c r="Z58" s="296"/>
      <c r="AA58" s="296"/>
    </row>
    <row r="59" spans="1:27" x14ac:dyDescent="0.3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87"/>
      <c r="Y59" s="87"/>
      <c r="Z59" s="296"/>
      <c r="AA59" s="296"/>
    </row>
    <row r="60" spans="1:27" x14ac:dyDescent="0.3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87"/>
      <c r="Y60" s="87"/>
      <c r="Z60" s="296"/>
      <c r="AA60" s="296"/>
    </row>
    <row r="61" spans="1:27" x14ac:dyDescent="0.3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87"/>
      <c r="Y61" s="87"/>
      <c r="Z61" s="296"/>
      <c r="AA61" s="296"/>
    </row>
    <row r="62" spans="1:27" x14ac:dyDescent="0.3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87"/>
      <c r="Y62" s="87"/>
      <c r="Z62" s="296"/>
      <c r="AA62" s="296"/>
    </row>
    <row r="63" spans="1:27" x14ac:dyDescent="0.3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87"/>
      <c r="Y63" s="87"/>
      <c r="Z63" s="296"/>
      <c r="AA63" s="296"/>
    </row>
    <row r="64" spans="1:27" x14ac:dyDescent="0.3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87"/>
      <c r="Y64" s="87"/>
      <c r="Z64" s="296"/>
      <c r="AA64" s="296"/>
    </row>
    <row r="65" spans="1:27" x14ac:dyDescent="0.3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87"/>
      <c r="Y65" s="87"/>
      <c r="Z65" s="296"/>
      <c r="AA65" s="296"/>
    </row>
    <row r="66" spans="1:27" x14ac:dyDescent="0.3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87"/>
      <c r="Y66" s="87"/>
      <c r="Z66" s="296"/>
      <c r="AA66" s="296"/>
    </row>
    <row r="67" spans="1:27" x14ac:dyDescent="0.3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87"/>
      <c r="Y67" s="87"/>
      <c r="Z67" s="296"/>
      <c r="AA67" s="296"/>
    </row>
    <row r="68" spans="1:27" x14ac:dyDescent="0.3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87"/>
      <c r="Y68" s="87"/>
      <c r="Z68" s="296"/>
      <c r="AA68" s="296"/>
    </row>
    <row r="69" spans="1:27" x14ac:dyDescent="0.3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87"/>
      <c r="Y69" s="87"/>
      <c r="Z69" s="296"/>
      <c r="AA69" s="296"/>
    </row>
    <row r="70" spans="1:27" x14ac:dyDescent="0.3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87"/>
      <c r="Y70" s="87"/>
      <c r="Z70" s="296"/>
      <c r="AA70" s="296"/>
    </row>
    <row r="71" spans="1:27" x14ac:dyDescent="0.3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87"/>
      <c r="Y71" s="87"/>
      <c r="Z71" s="296"/>
      <c r="AA71" s="296"/>
    </row>
    <row r="72" spans="1:27" x14ac:dyDescent="0.3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87"/>
      <c r="Y72" s="87"/>
      <c r="Z72" s="296"/>
      <c r="AA72" s="296"/>
    </row>
    <row r="73" spans="1:27" x14ac:dyDescent="0.3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87"/>
      <c r="Y73" s="87"/>
      <c r="Z73" s="296"/>
      <c r="AA73" s="296"/>
    </row>
    <row r="74" spans="1:27" x14ac:dyDescent="0.3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87"/>
      <c r="Y74" s="87"/>
      <c r="Z74" s="296"/>
      <c r="AA74" s="296"/>
    </row>
    <row r="75" spans="1:27" x14ac:dyDescent="0.3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87"/>
      <c r="Y75" s="87"/>
      <c r="Z75" s="296"/>
      <c r="AA75" s="296"/>
    </row>
    <row r="76" spans="1:27" x14ac:dyDescent="0.3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87"/>
      <c r="Y76" s="87"/>
      <c r="Z76" s="296"/>
      <c r="AA76" s="296"/>
    </row>
    <row r="77" spans="1:27" x14ac:dyDescent="0.3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87"/>
      <c r="Y77" s="87"/>
      <c r="Z77" s="296"/>
      <c r="AA77" s="296"/>
    </row>
    <row r="78" spans="1:27" x14ac:dyDescent="0.3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87"/>
      <c r="Y78" s="87"/>
      <c r="Z78" s="296"/>
      <c r="AA78" s="296"/>
    </row>
    <row r="79" spans="1:27" x14ac:dyDescent="0.3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87"/>
      <c r="Y79" s="87"/>
      <c r="Z79" s="296"/>
      <c r="AA79" s="296"/>
    </row>
    <row r="80" spans="1:27" x14ac:dyDescent="0.3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87"/>
      <c r="Y80" s="87"/>
      <c r="Z80" s="296"/>
      <c r="AA80" s="296"/>
    </row>
    <row r="81" spans="1:27" x14ac:dyDescent="0.3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87"/>
      <c r="Y81" s="87"/>
      <c r="Z81" s="296"/>
      <c r="AA81" s="296"/>
    </row>
    <row r="82" spans="1:27" x14ac:dyDescent="0.3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87"/>
      <c r="Y82" s="87"/>
      <c r="Z82" s="296"/>
      <c r="AA82" s="296"/>
    </row>
    <row r="83" spans="1:27" x14ac:dyDescent="0.3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87"/>
      <c r="Y83" s="87"/>
      <c r="Z83" s="296"/>
      <c r="AA83" s="296"/>
    </row>
    <row r="84" spans="1:27" x14ac:dyDescent="0.3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87"/>
      <c r="Y84" s="87"/>
      <c r="Z84" s="296"/>
      <c r="AA84" s="296"/>
    </row>
    <row r="85" spans="1:27" x14ac:dyDescent="0.3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87"/>
      <c r="Y85" s="87"/>
      <c r="Z85" s="296"/>
      <c r="AA85" s="296"/>
    </row>
    <row r="86" spans="1:27" x14ac:dyDescent="0.3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87"/>
      <c r="Y86" s="87"/>
      <c r="Z86" s="296"/>
      <c r="AA86" s="296"/>
    </row>
    <row r="87" spans="1:27" x14ac:dyDescent="0.3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87"/>
      <c r="Y87" s="87"/>
      <c r="Z87" s="296"/>
      <c r="AA87" s="296"/>
    </row>
    <row r="88" spans="1:27" x14ac:dyDescent="0.3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87"/>
      <c r="Y88" s="87"/>
      <c r="Z88" s="296"/>
      <c r="AA88" s="296"/>
    </row>
    <row r="89" spans="1:27" x14ac:dyDescent="0.3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87"/>
      <c r="Y89" s="87"/>
      <c r="Z89" s="296"/>
      <c r="AA89" s="296"/>
    </row>
    <row r="90" spans="1:27" x14ac:dyDescent="0.3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87"/>
      <c r="Y90" s="87"/>
      <c r="Z90" s="296"/>
      <c r="AA90" s="296"/>
    </row>
    <row r="91" spans="1:27" x14ac:dyDescent="0.3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87"/>
      <c r="Y91" s="87"/>
      <c r="Z91" s="296"/>
      <c r="AA91" s="296"/>
    </row>
    <row r="92" spans="1:27" x14ac:dyDescent="0.3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87"/>
      <c r="Y92" s="87"/>
      <c r="Z92" s="296"/>
      <c r="AA92" s="296"/>
    </row>
    <row r="93" spans="1:27" x14ac:dyDescent="0.3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87"/>
      <c r="Y93" s="87"/>
      <c r="Z93" s="296"/>
      <c r="AA93" s="296"/>
    </row>
    <row r="94" spans="1:27" x14ac:dyDescent="0.3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87"/>
      <c r="Y94" s="87"/>
      <c r="Z94" s="296"/>
      <c r="AA94" s="296"/>
    </row>
    <row r="95" spans="1:27" x14ac:dyDescent="0.3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87"/>
      <c r="Y95" s="87"/>
      <c r="Z95" s="296"/>
      <c r="AA95" s="296"/>
    </row>
    <row r="96" spans="1:27" x14ac:dyDescent="0.3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87"/>
      <c r="Y96" s="87"/>
      <c r="Z96" s="296"/>
      <c r="AA96" s="296"/>
    </row>
    <row r="97" spans="1:27" x14ac:dyDescent="0.3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87"/>
      <c r="Y97" s="87"/>
      <c r="Z97" s="296"/>
      <c r="AA97" s="296"/>
    </row>
    <row r="98" spans="1:27" x14ac:dyDescent="0.3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87"/>
      <c r="Y98" s="87"/>
      <c r="Z98" s="296"/>
      <c r="AA98" s="296"/>
    </row>
    <row r="99" spans="1:27" x14ac:dyDescent="0.3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87"/>
      <c r="Y99" s="87"/>
      <c r="Z99" s="296"/>
      <c r="AA99" s="296"/>
    </row>
    <row r="100" spans="1:27" x14ac:dyDescent="0.3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87"/>
      <c r="Y100" s="87"/>
      <c r="Z100" s="296"/>
      <c r="AA100" s="296"/>
    </row>
    <row r="101" spans="1:27" x14ac:dyDescent="0.3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87"/>
      <c r="Y101" s="87"/>
      <c r="Z101" s="296"/>
      <c r="AA101" s="296"/>
    </row>
    <row r="102" spans="1:27" x14ac:dyDescent="0.3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87"/>
      <c r="Y102" s="87"/>
      <c r="Z102" s="296"/>
      <c r="AA102" s="296"/>
    </row>
    <row r="103" spans="1:27" x14ac:dyDescent="0.3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87"/>
      <c r="Y103" s="87"/>
      <c r="Z103" s="296"/>
      <c r="AA103" s="296"/>
    </row>
    <row r="104" spans="1:27" x14ac:dyDescent="0.3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87"/>
      <c r="Y104" s="87"/>
      <c r="Z104" s="296"/>
      <c r="AA104" s="296"/>
    </row>
    <row r="105" spans="1:27" x14ac:dyDescent="0.3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296"/>
      <c r="AA105" s="296"/>
    </row>
    <row r="106" spans="1:27" x14ac:dyDescent="0.3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296"/>
      <c r="AA106" s="296"/>
    </row>
    <row r="107" spans="1:27" x14ac:dyDescent="0.3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296"/>
      <c r="AA107" s="296"/>
    </row>
    <row r="108" spans="1:27" x14ac:dyDescent="0.3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296"/>
      <c r="AA108" s="296"/>
    </row>
    <row r="109" spans="1:27" x14ac:dyDescent="0.3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296"/>
      <c r="AA109" s="296"/>
    </row>
    <row r="110" spans="1:27" x14ac:dyDescent="0.3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296"/>
      <c r="AA110" s="296"/>
    </row>
    <row r="111" spans="1:27" x14ac:dyDescent="0.3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296"/>
      <c r="AA111" s="296"/>
    </row>
    <row r="112" spans="1:27" x14ac:dyDescent="0.3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296"/>
      <c r="AA112" s="296"/>
    </row>
    <row r="113" spans="1:27" x14ac:dyDescent="0.3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296"/>
      <c r="AA113" s="296"/>
    </row>
    <row r="114" spans="1:27" x14ac:dyDescent="0.3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296"/>
      <c r="AA114" s="296"/>
    </row>
    <row r="115" spans="1:27" x14ac:dyDescent="0.3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296"/>
      <c r="AA115" s="296"/>
    </row>
    <row r="116" spans="1:27" x14ac:dyDescent="0.3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296"/>
      <c r="AA116" s="296"/>
    </row>
    <row r="117" spans="1:27" x14ac:dyDescent="0.3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296"/>
      <c r="AA117" s="296"/>
    </row>
    <row r="118" spans="1:27" x14ac:dyDescent="0.3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296"/>
      <c r="AA118" s="296"/>
    </row>
    <row r="119" spans="1:27" x14ac:dyDescent="0.3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296"/>
      <c r="AA119" s="296"/>
    </row>
    <row r="120" spans="1:27" x14ac:dyDescent="0.3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296"/>
      <c r="AA120" s="296"/>
    </row>
    <row r="121" spans="1:27" x14ac:dyDescent="0.3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296"/>
      <c r="AA121" s="296"/>
    </row>
    <row r="122" spans="1:27" x14ac:dyDescent="0.3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296"/>
      <c r="AA122" s="296"/>
    </row>
    <row r="123" spans="1:27" x14ac:dyDescent="0.3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296"/>
      <c r="AA123" s="296"/>
    </row>
    <row r="124" spans="1:27" x14ac:dyDescent="0.3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296"/>
      <c r="AA124" s="296"/>
    </row>
    <row r="125" spans="1:27" x14ac:dyDescent="0.3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296"/>
      <c r="AA125" s="296"/>
    </row>
    <row r="126" spans="1:27" x14ac:dyDescent="0.3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296"/>
      <c r="AA126" s="296"/>
    </row>
    <row r="127" spans="1:27" x14ac:dyDescent="0.3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296"/>
      <c r="AA127" s="296"/>
    </row>
    <row r="128" spans="1:27" x14ac:dyDescent="0.3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296"/>
      <c r="AA128" s="296"/>
    </row>
    <row r="129" spans="1:27" x14ac:dyDescent="0.3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296"/>
      <c r="AA129" s="296"/>
    </row>
    <row r="130" spans="1:27" x14ac:dyDescent="0.3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296"/>
      <c r="AA130" s="296"/>
    </row>
    <row r="131" spans="1:27" x14ac:dyDescent="0.3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296"/>
      <c r="AA131" s="296"/>
    </row>
    <row r="132" spans="1:27" x14ac:dyDescent="0.3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296"/>
      <c r="AA132" s="296"/>
    </row>
    <row r="133" spans="1:27" x14ac:dyDescent="0.3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296"/>
      <c r="AA133" s="296"/>
    </row>
    <row r="134" spans="1:27" x14ac:dyDescent="0.3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296"/>
      <c r="AA134" s="296"/>
    </row>
    <row r="135" spans="1:27" x14ac:dyDescent="0.3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296"/>
      <c r="AA135" s="296"/>
    </row>
    <row r="136" spans="1:27" x14ac:dyDescent="0.3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296"/>
      <c r="AA136" s="296"/>
    </row>
    <row r="137" spans="1:27" x14ac:dyDescent="0.3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296"/>
      <c r="AA137" s="296"/>
    </row>
    <row r="138" spans="1:27" x14ac:dyDescent="0.3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296"/>
      <c r="AA138" s="296"/>
    </row>
    <row r="139" spans="1:27" x14ac:dyDescent="0.3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296"/>
      <c r="AA139" s="296"/>
    </row>
    <row r="140" spans="1:27" x14ac:dyDescent="0.3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296"/>
      <c r="AA140" s="296"/>
    </row>
    <row r="141" spans="1:27" x14ac:dyDescent="0.3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296"/>
      <c r="AA141" s="296"/>
    </row>
    <row r="142" spans="1:27" x14ac:dyDescent="0.3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296"/>
      <c r="AA142" s="296"/>
    </row>
    <row r="143" spans="1:27" x14ac:dyDescent="0.3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296"/>
      <c r="AA143" s="296"/>
    </row>
    <row r="144" spans="1:27" x14ac:dyDescent="0.3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296"/>
      <c r="AA144" s="296"/>
    </row>
    <row r="145" spans="1:27" x14ac:dyDescent="0.3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296"/>
      <c r="AA145" s="296"/>
    </row>
    <row r="146" spans="1:27" x14ac:dyDescent="0.3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296"/>
      <c r="AA146" s="296"/>
    </row>
    <row r="147" spans="1:27" x14ac:dyDescent="0.3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296"/>
      <c r="AA147" s="296"/>
    </row>
    <row r="148" spans="1:27" x14ac:dyDescent="0.3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296"/>
      <c r="AA148" s="296"/>
    </row>
    <row r="149" spans="1:27" x14ac:dyDescent="0.3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296"/>
      <c r="AA149" s="296"/>
    </row>
    <row r="150" spans="1:27" x14ac:dyDescent="0.3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296"/>
      <c r="AA150" s="296"/>
    </row>
    <row r="151" spans="1:27" x14ac:dyDescent="0.3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296"/>
      <c r="AA151" s="296"/>
    </row>
    <row r="152" spans="1:27" x14ac:dyDescent="0.3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296"/>
      <c r="AA152" s="296"/>
    </row>
    <row r="153" spans="1:27" x14ac:dyDescent="0.3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296"/>
      <c r="AA153" s="296"/>
    </row>
    <row r="154" spans="1:27" x14ac:dyDescent="0.3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296"/>
      <c r="AA154" s="296"/>
    </row>
    <row r="155" spans="1:27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7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7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7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7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7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</sheetData>
  <mergeCells count="4">
    <mergeCell ref="A2:P2"/>
    <mergeCell ref="A5:A6"/>
    <mergeCell ref="B5:B6"/>
    <mergeCell ref="C5:R5"/>
  </mergeCells>
  <conditionalFormatting sqref="C18:O18">
    <cfRule type="cellIs" dxfId="68" priority="4" operator="lessThan">
      <formula>0</formula>
    </cfRule>
    <cfRule type="cellIs" dxfId="67" priority="5" operator="greaterThan">
      <formula>0</formula>
    </cfRule>
    <cfRule type="cellIs" dxfId="66" priority="6" operator="equal">
      <formula>0</formula>
    </cfRule>
  </conditionalFormatting>
  <conditionalFormatting sqref="Q15">
    <cfRule type="cellIs" dxfId="65" priority="1" operator="lessThan">
      <formula>0</formula>
    </cfRule>
    <cfRule type="cellIs" dxfId="64" priority="2" operator="greaterThan">
      <formula>0</formula>
    </cfRule>
    <cfRule type="cellIs" dxfId="63" priority="3" operator="equal">
      <formula>0</formula>
    </cfRule>
  </conditionalFormatting>
  <pageMargins left="0.39370078740157483" right="0.19685039370078741" top="0.74803149606299213" bottom="0.74803149606299213" header="0.31496062992125984" footer="0.31496062992125984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4"/>
  <sheetViews>
    <sheetView view="pageBreakPreview" zoomScale="90" zoomScaleSheetLayoutView="90" workbookViewId="0">
      <pane xSplit="5" ySplit="7" topLeftCell="F8" activePane="bottomRight" state="frozen"/>
      <selection pane="topRight" activeCell="E1" sqref="E1"/>
      <selection pane="bottomLeft" activeCell="A8" sqref="A8"/>
      <selection pane="bottomRight" activeCell="F5" sqref="F5"/>
    </sheetView>
  </sheetViews>
  <sheetFormatPr defaultRowHeight="14.4" x14ac:dyDescent="0.3"/>
  <cols>
    <col min="1" max="2" width="13" style="184" customWidth="1"/>
    <col min="3" max="6" width="14.77734375" style="184" customWidth="1"/>
    <col min="7" max="7" width="11" style="184" customWidth="1"/>
    <col min="8" max="11" width="10" style="184" bestFit="1" customWidth="1"/>
    <col min="12" max="12" width="9.44140625" style="184" customWidth="1"/>
    <col min="13" max="13" width="10" style="184" customWidth="1"/>
    <col min="14" max="19" width="10" style="184" bestFit="1" customWidth="1"/>
    <col min="20" max="21" width="10" style="184" hidden="1" customWidth="1"/>
    <col min="22" max="23" width="10" style="184" bestFit="1" customWidth="1"/>
    <col min="24" max="24" width="11.6640625" style="184" customWidth="1"/>
    <col min="25" max="25" width="12" style="184" customWidth="1"/>
    <col min="26" max="26" width="10.88671875" style="184" bestFit="1" customWidth="1"/>
    <col min="27" max="16384" width="8.88671875" style="184"/>
  </cols>
  <sheetData>
    <row r="1" spans="1:37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87"/>
      <c r="AI1" s="87"/>
      <c r="AJ1" s="296"/>
      <c r="AK1" s="296"/>
    </row>
    <row r="2" spans="1:37" ht="40.799999999999997" customHeight="1" x14ac:dyDescent="0.3">
      <c r="A2" s="450" t="s">
        <v>595</v>
      </c>
      <c r="B2" s="450"/>
      <c r="C2" s="450"/>
      <c r="D2" s="450"/>
      <c r="E2" s="450"/>
      <c r="F2" s="450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73"/>
      <c r="Z2" s="53"/>
      <c r="AA2" s="53"/>
      <c r="AB2" s="53"/>
      <c r="AC2" s="53"/>
      <c r="AD2" s="53"/>
      <c r="AE2" s="53"/>
      <c r="AF2" s="53"/>
      <c r="AG2" s="53"/>
      <c r="AH2" s="87"/>
      <c r="AI2" s="87"/>
      <c r="AJ2" s="296"/>
      <c r="AK2" s="296"/>
    </row>
    <row r="3" spans="1:37" ht="18.600000000000001" customHeight="1" x14ac:dyDescent="0.3">
      <c r="A3" s="373"/>
      <c r="B3" s="410"/>
      <c r="C3" s="373"/>
      <c r="D3" s="373"/>
      <c r="E3" s="373"/>
      <c r="F3" s="373"/>
      <c r="G3" s="373"/>
      <c r="H3" s="373"/>
      <c r="I3" s="373"/>
      <c r="J3" s="373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73"/>
      <c r="Z3" s="53"/>
      <c r="AA3" s="53"/>
      <c r="AB3" s="53"/>
      <c r="AC3" s="53"/>
      <c r="AD3" s="53"/>
      <c r="AE3" s="53"/>
      <c r="AF3" s="53"/>
      <c r="AG3" s="53"/>
      <c r="AH3" s="87"/>
      <c r="AI3" s="87"/>
      <c r="AJ3" s="296"/>
      <c r="AK3" s="296"/>
    </row>
    <row r="4" spans="1:37" ht="28.8" customHeight="1" x14ac:dyDescent="0.3">
      <c r="A4" s="378" t="s">
        <v>551</v>
      </c>
      <c r="B4" s="425" t="s">
        <v>596</v>
      </c>
      <c r="C4" s="425" t="s">
        <v>597</v>
      </c>
      <c r="D4" s="429">
        <v>2025</v>
      </c>
      <c r="E4" s="429">
        <v>2026</v>
      </c>
      <c r="F4" s="425">
        <v>2027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87"/>
      <c r="AI4" s="87"/>
      <c r="AJ4" s="296"/>
      <c r="AK4" s="296"/>
    </row>
    <row r="5" spans="1:37" ht="28.8" customHeight="1" x14ac:dyDescent="0.3">
      <c r="A5" s="378">
        <v>211</v>
      </c>
      <c r="B5" s="379">
        <f>'ст.211,212,213'!C19+'ст.211,212,213'!C23</f>
        <v>0</v>
      </c>
      <c r="C5" s="379">
        <f>'ст.211,212,213'!D19+'ст.211,212,213'!D23</f>
        <v>0</v>
      </c>
      <c r="D5" s="379">
        <f>'ст.211,212,213'!E19+'ст.211,212,213'!E23</f>
        <v>0</v>
      </c>
      <c r="E5" s="379">
        <f>'ст.211,212,213'!F19+'ст.211,212,213'!F23</f>
        <v>0</v>
      </c>
      <c r="F5" s="379">
        <f>'ст.211,212,213'!G19+'ст.211,212,213'!G23</f>
        <v>0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87"/>
      <c r="AI5" s="87"/>
      <c r="AJ5" s="296"/>
      <c r="AK5" s="296"/>
    </row>
    <row r="6" spans="1:37" ht="28.8" customHeight="1" x14ac:dyDescent="0.3">
      <c r="A6" s="378">
        <v>212</v>
      </c>
      <c r="B6" s="379">
        <f>'ст.211,212,213'!C37</f>
        <v>0</v>
      </c>
      <c r="C6" s="379">
        <f>'ст.211,212,213'!D37</f>
        <v>0</v>
      </c>
      <c r="D6" s="379">
        <f>'ст.211,212,213'!E37</f>
        <v>0</v>
      </c>
      <c r="E6" s="379">
        <f>'ст.211,212,213'!F37</f>
        <v>0</v>
      </c>
      <c r="F6" s="379">
        <f>'ст.211,212,213'!G37</f>
        <v>0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53"/>
      <c r="AA6" s="53"/>
      <c r="AB6" s="53"/>
      <c r="AC6" s="53"/>
      <c r="AD6" s="53"/>
      <c r="AE6" s="53"/>
      <c r="AF6" s="53"/>
      <c r="AG6" s="53"/>
      <c r="AH6" s="87"/>
      <c r="AI6" s="87"/>
      <c r="AJ6" s="296"/>
      <c r="AK6" s="296"/>
    </row>
    <row r="7" spans="1:37" ht="28.8" customHeight="1" x14ac:dyDescent="0.3">
      <c r="A7" s="378">
        <v>213</v>
      </c>
      <c r="B7" s="379">
        <f>'ст.211,212,213'!C21+'ст.211,212,213'!C24</f>
        <v>0</v>
      </c>
      <c r="C7" s="379">
        <f>'ст.211,212,213'!D21+'ст.211,212,213'!D24</f>
        <v>0</v>
      </c>
      <c r="D7" s="379">
        <f>'ст.211,212,213'!E21+'ст.211,212,213'!E24</f>
        <v>0</v>
      </c>
      <c r="E7" s="379">
        <f>'ст.211,212,213'!F21+'ст.211,212,213'!F24</f>
        <v>0</v>
      </c>
      <c r="F7" s="379">
        <f>'ст.211,212,213'!G21+'ст.211,212,213'!G24</f>
        <v>0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87"/>
      <c r="AI7" s="87"/>
      <c r="AJ7" s="296"/>
      <c r="AK7" s="296"/>
    </row>
    <row r="8" spans="1:37" ht="28.8" customHeight="1" x14ac:dyDescent="0.3">
      <c r="A8" s="378">
        <v>221</v>
      </c>
      <c r="B8" s="379">
        <f>ст.221!C31</f>
        <v>0</v>
      </c>
      <c r="C8" s="379">
        <f>ст.221!D31</f>
        <v>0</v>
      </c>
      <c r="D8" s="379">
        <f>ст.221!E31</f>
        <v>0</v>
      </c>
      <c r="E8" s="379">
        <f>ст.221!F31</f>
        <v>0</v>
      </c>
      <c r="F8" s="379">
        <f>ст.221!G31</f>
        <v>0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87"/>
      <c r="AI8" s="87"/>
      <c r="AJ8" s="296"/>
      <c r="AK8" s="296"/>
    </row>
    <row r="9" spans="1:37" ht="28.8" customHeight="1" x14ac:dyDescent="0.3">
      <c r="A9" s="378">
        <v>222</v>
      </c>
      <c r="B9" s="379">
        <f>ст.222!C27</f>
        <v>0</v>
      </c>
      <c r="C9" s="379">
        <f>ст.222!D27</f>
        <v>0</v>
      </c>
      <c r="D9" s="379">
        <f>ст.222!E27</f>
        <v>0</v>
      </c>
      <c r="E9" s="379">
        <f>ст.222!F27</f>
        <v>0</v>
      </c>
      <c r="F9" s="379">
        <f>ст.222!G27</f>
        <v>0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87"/>
      <c r="AI9" s="87"/>
      <c r="AJ9" s="296"/>
      <c r="AK9" s="296"/>
    </row>
    <row r="10" spans="1:37" ht="28.8" customHeight="1" x14ac:dyDescent="0.3">
      <c r="A10" s="378">
        <v>223</v>
      </c>
      <c r="B10" s="379">
        <f>ст.223!C43</f>
        <v>0</v>
      </c>
      <c r="C10" s="379">
        <f>ст.223!D43</f>
        <v>0</v>
      </c>
      <c r="D10" s="379">
        <f>ст.223!E43</f>
        <v>0</v>
      </c>
      <c r="E10" s="379">
        <f>ст.223!F43</f>
        <v>0</v>
      </c>
      <c r="F10" s="379">
        <f>ст.223!G43</f>
        <v>0</v>
      </c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87"/>
      <c r="AI10" s="87"/>
      <c r="AJ10" s="296"/>
      <c r="AK10" s="296"/>
    </row>
    <row r="11" spans="1:37" ht="28.8" customHeight="1" x14ac:dyDescent="0.3">
      <c r="A11" s="378">
        <v>225</v>
      </c>
      <c r="B11" s="379">
        <f>ст.225!C109</f>
        <v>0</v>
      </c>
      <c r="C11" s="379">
        <f>ст.225!D109</f>
        <v>0</v>
      </c>
      <c r="D11" s="379">
        <f>ст.225!E109</f>
        <v>0</v>
      </c>
      <c r="E11" s="379">
        <f>ст.225!F109</f>
        <v>0</v>
      </c>
      <c r="F11" s="379">
        <f>ст.225!G109</f>
        <v>0</v>
      </c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87"/>
      <c r="AI11" s="87"/>
      <c r="AJ11" s="296"/>
      <c r="AK11" s="296"/>
    </row>
    <row r="12" spans="1:37" ht="28.8" customHeight="1" x14ac:dyDescent="0.3">
      <c r="A12" s="378">
        <v>226</v>
      </c>
      <c r="B12" s="379">
        <f>'ст.226-227'!C110</f>
        <v>0</v>
      </c>
      <c r="C12" s="379">
        <f>'ст.226-227'!D110</f>
        <v>0</v>
      </c>
      <c r="D12" s="379">
        <f>'ст.226-227'!E110</f>
        <v>0</v>
      </c>
      <c r="E12" s="379">
        <f>'ст.226-227'!F110</f>
        <v>0</v>
      </c>
      <c r="F12" s="379">
        <f>'ст.226-227'!G110</f>
        <v>0</v>
      </c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87"/>
      <c r="AI12" s="87"/>
      <c r="AJ12" s="296"/>
      <c r="AK12" s="296"/>
    </row>
    <row r="13" spans="1:37" ht="28.8" customHeight="1" x14ac:dyDescent="0.3">
      <c r="A13" s="378">
        <v>290</v>
      </c>
      <c r="B13" s="379">
        <f>ст.290!C18</f>
        <v>0</v>
      </c>
      <c r="C13" s="379">
        <f>ст.290!D18</f>
        <v>0</v>
      </c>
      <c r="D13" s="379">
        <f>ст.290!E18</f>
        <v>0</v>
      </c>
      <c r="E13" s="379">
        <f>ст.290!F18</f>
        <v>0</v>
      </c>
      <c r="F13" s="379">
        <f>ст.290!G18</f>
        <v>0</v>
      </c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87"/>
      <c r="AI13" s="87"/>
      <c r="AJ13" s="296"/>
      <c r="AK13" s="296"/>
    </row>
    <row r="14" spans="1:37" ht="28.8" customHeight="1" x14ac:dyDescent="0.3">
      <c r="A14" s="378">
        <v>310</v>
      </c>
      <c r="B14" s="379">
        <f>ст.310!C39</f>
        <v>0</v>
      </c>
      <c r="C14" s="379">
        <f>ст.310!D39</f>
        <v>0</v>
      </c>
      <c r="D14" s="379">
        <f>ст.310!E39</f>
        <v>0</v>
      </c>
      <c r="E14" s="379">
        <f>ст.310!F39</f>
        <v>0</v>
      </c>
      <c r="F14" s="379">
        <f>ст.310!G39</f>
        <v>0</v>
      </c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87"/>
      <c r="AI14" s="87"/>
      <c r="AJ14" s="296"/>
      <c r="AK14" s="296"/>
    </row>
    <row r="15" spans="1:37" ht="28.8" customHeight="1" x14ac:dyDescent="0.3">
      <c r="A15" s="378">
        <v>340</v>
      </c>
      <c r="B15" s="379">
        <f>'ст.340 '!C73</f>
        <v>0</v>
      </c>
      <c r="C15" s="379">
        <f>'ст.340 '!D73</f>
        <v>0</v>
      </c>
      <c r="D15" s="379">
        <f>'ст.340 '!E73</f>
        <v>0</v>
      </c>
      <c r="E15" s="379">
        <f>'ст.340 '!F73</f>
        <v>0</v>
      </c>
      <c r="F15" s="379">
        <f>'ст.340 '!G73</f>
        <v>0</v>
      </c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87"/>
      <c r="AI15" s="87"/>
      <c r="AJ15" s="296"/>
      <c r="AK15" s="296"/>
    </row>
    <row r="16" spans="1:37" s="384" customFormat="1" ht="28.8" customHeight="1" x14ac:dyDescent="0.3">
      <c r="A16" s="380" t="s">
        <v>552</v>
      </c>
      <c r="B16" s="381">
        <f>SUM(B5:B15)</f>
        <v>0</v>
      </c>
      <c r="C16" s="381">
        <f>SUM(C5:C15)</f>
        <v>0</v>
      </c>
      <c r="D16" s="381">
        <f t="shared" ref="D16:F16" si="0">SUM(D5:D15)</f>
        <v>0</v>
      </c>
      <c r="E16" s="381">
        <f t="shared" si="0"/>
        <v>0</v>
      </c>
      <c r="F16" s="381">
        <f t="shared" si="0"/>
        <v>0</v>
      </c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5"/>
      <c r="AA16" s="335"/>
      <c r="AB16" s="335"/>
      <c r="AC16" s="335"/>
      <c r="AD16" s="335"/>
      <c r="AE16" s="335"/>
      <c r="AF16" s="335"/>
      <c r="AG16" s="335"/>
      <c r="AH16" s="382"/>
      <c r="AI16" s="382"/>
      <c r="AJ16" s="383"/>
      <c r="AK16" s="383"/>
    </row>
    <row r="17" spans="1:37" x14ac:dyDescent="0.3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87"/>
      <c r="AI17" s="87"/>
      <c r="AJ17" s="296"/>
      <c r="AK17" s="296"/>
    </row>
    <row r="18" spans="1:37" x14ac:dyDescent="0.3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87"/>
      <c r="AI18" s="87"/>
      <c r="AJ18" s="296"/>
      <c r="AK18" s="296"/>
    </row>
    <row r="19" spans="1:37" s="389" customFormat="1" ht="29.4" customHeight="1" x14ac:dyDescent="0.3">
      <c r="A19" s="385" t="s">
        <v>553</v>
      </c>
      <c r="B19" s="411"/>
      <c r="C19" s="386"/>
      <c r="D19" s="386"/>
      <c r="E19" s="386"/>
      <c r="F19" s="387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  <c r="AC19" s="386"/>
      <c r="AD19" s="386"/>
      <c r="AE19" s="386"/>
      <c r="AF19" s="386"/>
      <c r="AG19" s="386"/>
      <c r="AH19" s="386"/>
      <c r="AI19" s="386"/>
      <c r="AJ19" s="388"/>
      <c r="AK19" s="388"/>
    </row>
    <row r="20" spans="1:37" s="389" customFormat="1" ht="26.4" x14ac:dyDescent="0.3">
      <c r="A20" s="385" t="s">
        <v>130</v>
      </c>
      <c r="B20" s="411"/>
      <c r="C20" s="386"/>
      <c r="D20" s="386"/>
      <c r="E20" s="386"/>
      <c r="F20" s="387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  <c r="AC20" s="386"/>
      <c r="AD20" s="386"/>
      <c r="AE20" s="386"/>
      <c r="AF20" s="386"/>
      <c r="AG20" s="386"/>
      <c r="AH20" s="386"/>
      <c r="AI20" s="386"/>
      <c r="AJ20" s="388"/>
      <c r="AK20" s="388"/>
    </row>
    <row r="21" spans="1:37" x14ac:dyDescent="0.3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87"/>
      <c r="AI21" s="87"/>
      <c r="AJ21" s="296"/>
      <c r="AK21" s="296"/>
    </row>
    <row r="22" spans="1:37" x14ac:dyDescent="0.3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87"/>
      <c r="AI22" s="87"/>
      <c r="AJ22" s="296"/>
      <c r="AK22" s="296"/>
    </row>
    <row r="23" spans="1:37" x14ac:dyDescent="0.3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87"/>
      <c r="AI23" s="87"/>
      <c r="AJ23" s="296"/>
      <c r="AK23" s="296"/>
    </row>
    <row r="24" spans="1:37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87"/>
      <c r="AI24" s="87"/>
      <c r="AJ24" s="296"/>
      <c r="AK24" s="296"/>
    </row>
    <row r="25" spans="1:37" x14ac:dyDescent="0.3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87"/>
      <c r="AI25" s="87"/>
      <c r="AJ25" s="296"/>
      <c r="AK25" s="296"/>
    </row>
    <row r="26" spans="1:37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87"/>
      <c r="AI26" s="87"/>
      <c r="AJ26" s="296"/>
      <c r="AK26" s="296"/>
    </row>
    <row r="27" spans="1:37" x14ac:dyDescent="0.3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87"/>
      <c r="AI27" s="87"/>
      <c r="AJ27" s="296"/>
      <c r="AK27" s="296"/>
    </row>
    <row r="28" spans="1:37" x14ac:dyDescent="0.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87"/>
      <c r="AI28" s="87"/>
      <c r="AJ28" s="296"/>
      <c r="AK28" s="296"/>
    </row>
    <row r="29" spans="1:37" x14ac:dyDescent="0.3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87"/>
      <c r="AI29" s="87"/>
      <c r="AJ29" s="296"/>
      <c r="AK29" s="296"/>
    </row>
    <row r="30" spans="1:37" x14ac:dyDescent="0.3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87"/>
      <c r="AI30" s="87"/>
      <c r="AJ30" s="296"/>
      <c r="AK30" s="296"/>
    </row>
    <row r="31" spans="1:37" x14ac:dyDescent="0.3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87"/>
      <c r="AI31" s="87"/>
      <c r="AJ31" s="296"/>
      <c r="AK31" s="296"/>
    </row>
    <row r="32" spans="1:37" x14ac:dyDescent="0.3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87"/>
      <c r="AI32" s="87"/>
      <c r="AJ32" s="296"/>
      <c r="AK32" s="296"/>
    </row>
    <row r="33" spans="1:37" x14ac:dyDescent="0.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87"/>
      <c r="AI33" s="87"/>
      <c r="AJ33" s="296"/>
      <c r="AK33" s="296"/>
    </row>
    <row r="34" spans="1:37" x14ac:dyDescent="0.3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87"/>
      <c r="AI34" s="87"/>
      <c r="AJ34" s="296"/>
      <c r="AK34" s="296"/>
    </row>
    <row r="35" spans="1:37" x14ac:dyDescent="0.3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87"/>
      <c r="AI35" s="87"/>
      <c r="AJ35" s="296"/>
      <c r="AK35" s="296"/>
    </row>
    <row r="36" spans="1:37" x14ac:dyDescent="0.3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87"/>
      <c r="AI36" s="87"/>
      <c r="AJ36" s="296"/>
      <c r="AK36" s="296"/>
    </row>
    <row r="37" spans="1:37" x14ac:dyDescent="0.3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87"/>
      <c r="AI37" s="87"/>
      <c r="AJ37" s="296"/>
      <c r="AK37" s="296"/>
    </row>
    <row r="38" spans="1:37" x14ac:dyDescent="0.3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87"/>
      <c r="AI38" s="87"/>
      <c r="AJ38" s="296"/>
      <c r="AK38" s="296"/>
    </row>
    <row r="39" spans="1:37" x14ac:dyDescent="0.3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87"/>
      <c r="AI39" s="87"/>
      <c r="AJ39" s="296"/>
      <c r="AK39" s="296"/>
    </row>
    <row r="40" spans="1:37" x14ac:dyDescent="0.3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87"/>
      <c r="AI40" s="87"/>
      <c r="AJ40" s="296"/>
      <c r="AK40" s="296"/>
    </row>
    <row r="41" spans="1:37" x14ac:dyDescent="0.3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87"/>
      <c r="AI41" s="87"/>
      <c r="AJ41" s="296"/>
      <c r="AK41" s="296"/>
    </row>
    <row r="42" spans="1:37" x14ac:dyDescent="0.3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87"/>
      <c r="AI42" s="87"/>
      <c r="AJ42" s="296"/>
      <c r="AK42" s="296"/>
    </row>
    <row r="43" spans="1:37" x14ac:dyDescent="0.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87"/>
      <c r="AI43" s="87"/>
      <c r="AJ43" s="296"/>
      <c r="AK43" s="296"/>
    </row>
    <row r="44" spans="1:37" x14ac:dyDescent="0.3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87"/>
      <c r="AI44" s="87"/>
      <c r="AJ44" s="296"/>
      <c r="AK44" s="296"/>
    </row>
    <row r="45" spans="1:37" x14ac:dyDescent="0.3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87"/>
      <c r="AI45" s="87"/>
      <c r="AJ45" s="296"/>
      <c r="AK45" s="296"/>
    </row>
    <row r="46" spans="1:37" x14ac:dyDescent="0.3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87"/>
      <c r="AI46" s="87"/>
      <c r="AJ46" s="296"/>
      <c r="AK46" s="296"/>
    </row>
    <row r="47" spans="1:37" x14ac:dyDescent="0.3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87"/>
      <c r="AI47" s="87"/>
      <c r="AJ47" s="296"/>
      <c r="AK47" s="296"/>
    </row>
    <row r="48" spans="1:37" x14ac:dyDescent="0.3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87"/>
      <c r="AI48" s="87"/>
      <c r="AJ48" s="296"/>
      <c r="AK48" s="296"/>
    </row>
    <row r="49" spans="1:37" x14ac:dyDescent="0.3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87"/>
      <c r="AI49" s="87"/>
      <c r="AJ49" s="296"/>
      <c r="AK49" s="296"/>
    </row>
    <row r="50" spans="1:37" x14ac:dyDescent="0.3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87"/>
      <c r="AI50" s="87"/>
      <c r="AJ50" s="296"/>
      <c r="AK50" s="296"/>
    </row>
    <row r="51" spans="1:37" x14ac:dyDescent="0.3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87"/>
      <c r="AI51" s="87"/>
      <c r="AJ51" s="296"/>
      <c r="AK51" s="296"/>
    </row>
    <row r="52" spans="1:37" x14ac:dyDescent="0.3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87"/>
      <c r="AI52" s="87"/>
      <c r="AJ52" s="296"/>
      <c r="AK52" s="296"/>
    </row>
    <row r="53" spans="1:37" x14ac:dyDescent="0.3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87"/>
      <c r="AI53" s="87"/>
      <c r="AJ53" s="296"/>
      <c r="AK53" s="296"/>
    </row>
    <row r="54" spans="1:37" x14ac:dyDescent="0.3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87"/>
      <c r="AI54" s="87"/>
      <c r="AJ54" s="296"/>
      <c r="AK54" s="296"/>
    </row>
    <row r="55" spans="1:37" x14ac:dyDescent="0.3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87"/>
      <c r="AI55" s="87"/>
      <c r="AJ55" s="296"/>
      <c r="AK55" s="296"/>
    </row>
    <row r="56" spans="1:37" x14ac:dyDescent="0.3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87"/>
      <c r="AI56" s="87"/>
      <c r="AJ56" s="296"/>
      <c r="AK56" s="296"/>
    </row>
    <row r="57" spans="1:37" x14ac:dyDescent="0.3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87"/>
      <c r="AI57" s="87"/>
      <c r="AJ57" s="296"/>
      <c r="AK57" s="296"/>
    </row>
    <row r="58" spans="1:37" x14ac:dyDescent="0.3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87"/>
      <c r="AI58" s="87"/>
      <c r="AJ58" s="296"/>
      <c r="AK58" s="296"/>
    </row>
    <row r="59" spans="1:37" x14ac:dyDescent="0.3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87"/>
      <c r="AI59" s="87"/>
      <c r="AJ59" s="296"/>
      <c r="AK59" s="296"/>
    </row>
    <row r="60" spans="1:37" x14ac:dyDescent="0.3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87"/>
      <c r="AI60" s="87"/>
      <c r="AJ60" s="296"/>
      <c r="AK60" s="296"/>
    </row>
    <row r="61" spans="1:37" x14ac:dyDescent="0.3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87"/>
      <c r="AI61" s="87"/>
      <c r="AJ61" s="296"/>
      <c r="AK61" s="296"/>
    </row>
    <row r="62" spans="1:37" x14ac:dyDescent="0.3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87"/>
      <c r="AI62" s="87"/>
      <c r="AJ62" s="296"/>
      <c r="AK62" s="296"/>
    </row>
    <row r="63" spans="1:37" x14ac:dyDescent="0.3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87"/>
      <c r="AI63" s="87"/>
      <c r="AJ63" s="296"/>
      <c r="AK63" s="296"/>
    </row>
    <row r="64" spans="1:37" x14ac:dyDescent="0.3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87"/>
      <c r="AI64" s="87"/>
      <c r="AJ64" s="296"/>
      <c r="AK64" s="296"/>
    </row>
    <row r="65" spans="1:37" x14ac:dyDescent="0.3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87"/>
      <c r="AI65" s="87"/>
      <c r="AJ65" s="296"/>
      <c r="AK65" s="296"/>
    </row>
    <row r="66" spans="1:37" x14ac:dyDescent="0.3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87"/>
      <c r="AI66" s="87"/>
      <c r="AJ66" s="296"/>
      <c r="AK66" s="296"/>
    </row>
    <row r="67" spans="1:37" x14ac:dyDescent="0.3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87"/>
      <c r="AI67" s="87"/>
      <c r="AJ67" s="296"/>
      <c r="AK67" s="296"/>
    </row>
    <row r="68" spans="1:37" x14ac:dyDescent="0.3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87"/>
      <c r="AI68" s="87"/>
      <c r="AJ68" s="296"/>
      <c r="AK68" s="296"/>
    </row>
    <row r="69" spans="1:37" x14ac:dyDescent="0.3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87"/>
      <c r="AI69" s="87"/>
      <c r="AJ69" s="296"/>
      <c r="AK69" s="296"/>
    </row>
    <row r="70" spans="1:37" x14ac:dyDescent="0.3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87"/>
      <c r="AI70" s="87"/>
      <c r="AJ70" s="296"/>
      <c r="AK70" s="296"/>
    </row>
    <row r="71" spans="1:37" x14ac:dyDescent="0.3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87"/>
      <c r="AI71" s="87"/>
      <c r="AJ71" s="296"/>
      <c r="AK71" s="296"/>
    </row>
    <row r="72" spans="1:37" x14ac:dyDescent="0.3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87"/>
      <c r="AI72" s="87"/>
      <c r="AJ72" s="296"/>
      <c r="AK72" s="296"/>
    </row>
    <row r="73" spans="1:37" x14ac:dyDescent="0.3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87"/>
      <c r="AI73" s="87"/>
      <c r="AJ73" s="296"/>
      <c r="AK73" s="296"/>
    </row>
    <row r="74" spans="1:37" x14ac:dyDescent="0.3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87"/>
      <c r="AI74" s="87"/>
      <c r="AJ74" s="296"/>
      <c r="AK74" s="296"/>
    </row>
    <row r="75" spans="1:37" x14ac:dyDescent="0.3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87"/>
      <c r="AI75" s="87"/>
      <c r="AJ75" s="296"/>
      <c r="AK75" s="296"/>
    </row>
    <row r="76" spans="1:37" x14ac:dyDescent="0.3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87"/>
      <c r="AI76" s="87"/>
      <c r="AJ76" s="296"/>
      <c r="AK76" s="296"/>
    </row>
    <row r="77" spans="1:37" x14ac:dyDescent="0.3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87"/>
      <c r="AI77" s="87"/>
      <c r="AJ77" s="296"/>
      <c r="AK77" s="296"/>
    </row>
    <row r="78" spans="1:37" x14ac:dyDescent="0.3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87"/>
      <c r="AI78" s="87"/>
      <c r="AJ78" s="296"/>
      <c r="AK78" s="296"/>
    </row>
    <row r="79" spans="1:37" x14ac:dyDescent="0.3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87"/>
      <c r="AI79" s="87"/>
      <c r="AJ79" s="296"/>
      <c r="AK79" s="296"/>
    </row>
    <row r="80" spans="1:37" x14ac:dyDescent="0.3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87"/>
      <c r="AI80" s="87"/>
      <c r="AJ80" s="296"/>
      <c r="AK80" s="296"/>
    </row>
    <row r="81" spans="1:37" x14ac:dyDescent="0.3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87"/>
      <c r="AI81" s="87"/>
      <c r="AJ81" s="296"/>
      <c r="AK81" s="296"/>
    </row>
    <row r="82" spans="1:37" x14ac:dyDescent="0.3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87"/>
      <c r="AI82" s="87"/>
      <c r="AJ82" s="296"/>
      <c r="AK82" s="296"/>
    </row>
    <row r="83" spans="1:37" x14ac:dyDescent="0.3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87"/>
      <c r="AI83" s="87"/>
      <c r="AJ83" s="296"/>
      <c r="AK83" s="296"/>
    </row>
    <row r="84" spans="1:37" x14ac:dyDescent="0.3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87"/>
      <c r="AI84" s="87"/>
      <c r="AJ84" s="296"/>
      <c r="AK84" s="296"/>
    </row>
    <row r="85" spans="1:37" x14ac:dyDescent="0.3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296"/>
      <c r="AK85" s="296"/>
    </row>
    <row r="86" spans="1:37" x14ac:dyDescent="0.3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296"/>
      <c r="AK86" s="296"/>
    </row>
    <row r="87" spans="1:37" x14ac:dyDescent="0.3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296"/>
      <c r="AK87" s="296"/>
    </row>
    <row r="88" spans="1:37" x14ac:dyDescent="0.3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296"/>
      <c r="AK88" s="296"/>
    </row>
    <row r="89" spans="1:37" x14ac:dyDescent="0.3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296"/>
      <c r="AK89" s="296"/>
    </row>
    <row r="90" spans="1:37" x14ac:dyDescent="0.3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296"/>
      <c r="AK90" s="296"/>
    </row>
    <row r="91" spans="1:37" x14ac:dyDescent="0.3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296"/>
      <c r="AK91" s="296"/>
    </row>
    <row r="92" spans="1:37" x14ac:dyDescent="0.3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296"/>
      <c r="AK92" s="296"/>
    </row>
    <row r="93" spans="1:37" x14ac:dyDescent="0.3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296"/>
      <c r="AK93" s="296"/>
    </row>
    <row r="94" spans="1:37" x14ac:dyDescent="0.3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296"/>
      <c r="AK94" s="296"/>
    </row>
    <row r="95" spans="1:37" x14ac:dyDescent="0.3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296"/>
      <c r="AK95" s="296"/>
    </row>
    <row r="96" spans="1:37" x14ac:dyDescent="0.3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296"/>
      <c r="AK96" s="296"/>
    </row>
    <row r="97" spans="1:37" x14ac:dyDescent="0.3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296"/>
      <c r="AK97" s="296"/>
    </row>
    <row r="98" spans="1:37" x14ac:dyDescent="0.3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296"/>
      <c r="AK98" s="296"/>
    </row>
    <row r="99" spans="1:37" x14ac:dyDescent="0.3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296"/>
      <c r="AK99" s="296"/>
    </row>
    <row r="100" spans="1:37" x14ac:dyDescent="0.3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296"/>
      <c r="AK100" s="296"/>
    </row>
    <row r="101" spans="1:37" x14ac:dyDescent="0.3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296"/>
      <c r="AK101" s="296"/>
    </row>
    <row r="102" spans="1:37" x14ac:dyDescent="0.3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296"/>
      <c r="AK102" s="296"/>
    </row>
    <row r="103" spans="1:37" x14ac:dyDescent="0.3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296"/>
      <c r="AK103" s="296"/>
    </row>
    <row r="104" spans="1:37" x14ac:dyDescent="0.3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296"/>
      <c r="AK104" s="296"/>
    </row>
    <row r="105" spans="1:37" x14ac:dyDescent="0.3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296"/>
      <c r="AK105" s="296"/>
    </row>
    <row r="106" spans="1:37" x14ac:dyDescent="0.3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296"/>
      <c r="AK106" s="296"/>
    </row>
    <row r="107" spans="1:37" x14ac:dyDescent="0.3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296"/>
      <c r="AK107" s="296"/>
    </row>
    <row r="108" spans="1:37" x14ac:dyDescent="0.3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296"/>
      <c r="AK108" s="296"/>
    </row>
    <row r="109" spans="1:37" x14ac:dyDescent="0.3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296"/>
      <c r="AK109" s="296"/>
    </row>
    <row r="110" spans="1:37" x14ac:dyDescent="0.3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296"/>
      <c r="AK110" s="296"/>
    </row>
    <row r="111" spans="1:37" x14ac:dyDescent="0.3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296"/>
      <c r="AK111" s="296"/>
    </row>
    <row r="112" spans="1:37" x14ac:dyDescent="0.3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296"/>
      <c r="AK112" s="296"/>
    </row>
    <row r="113" spans="1:37" x14ac:dyDescent="0.3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296"/>
      <c r="AK113" s="296"/>
    </row>
    <row r="114" spans="1:37" x14ac:dyDescent="0.3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296"/>
      <c r="AK114" s="296"/>
    </row>
    <row r="115" spans="1:37" x14ac:dyDescent="0.3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296"/>
      <c r="AK115" s="296"/>
    </row>
    <row r="116" spans="1:37" x14ac:dyDescent="0.3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296"/>
      <c r="AK116" s="296"/>
    </row>
    <row r="117" spans="1:37" x14ac:dyDescent="0.3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296"/>
      <c r="AK117" s="296"/>
    </row>
    <row r="118" spans="1:37" x14ac:dyDescent="0.3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296"/>
      <c r="AK118" s="296"/>
    </row>
    <row r="119" spans="1:37" x14ac:dyDescent="0.3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296"/>
      <c r="AK119" s="296"/>
    </row>
    <row r="120" spans="1:37" x14ac:dyDescent="0.3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296"/>
      <c r="AK120" s="296"/>
    </row>
    <row r="121" spans="1:37" x14ac:dyDescent="0.3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296"/>
      <c r="AK121" s="296"/>
    </row>
    <row r="122" spans="1:37" x14ac:dyDescent="0.3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296"/>
      <c r="AK122" s="296"/>
    </row>
    <row r="123" spans="1:37" x14ac:dyDescent="0.3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296"/>
      <c r="AK123" s="296"/>
    </row>
    <row r="124" spans="1:37" x14ac:dyDescent="0.3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296"/>
      <c r="AK124" s="296"/>
    </row>
    <row r="125" spans="1:37" x14ac:dyDescent="0.3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296"/>
      <c r="AK125" s="296"/>
    </row>
    <row r="126" spans="1:37" x14ac:dyDescent="0.3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296"/>
      <c r="AK126" s="296"/>
    </row>
    <row r="127" spans="1:37" x14ac:dyDescent="0.3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296"/>
      <c r="AK127" s="296"/>
    </row>
    <row r="128" spans="1:37" x14ac:dyDescent="0.3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296"/>
      <c r="AK128" s="296"/>
    </row>
    <row r="129" spans="1:37" x14ac:dyDescent="0.3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296"/>
      <c r="AK129" s="296"/>
    </row>
    <row r="130" spans="1:37" x14ac:dyDescent="0.3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296"/>
      <c r="AK130" s="296"/>
    </row>
    <row r="131" spans="1:37" x14ac:dyDescent="0.3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296"/>
      <c r="AK131" s="296"/>
    </row>
    <row r="132" spans="1:37" x14ac:dyDescent="0.3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296"/>
      <c r="AK132" s="296"/>
    </row>
    <row r="133" spans="1:37" x14ac:dyDescent="0.3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296"/>
      <c r="AK133" s="296"/>
    </row>
    <row r="134" spans="1:37" x14ac:dyDescent="0.3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296"/>
      <c r="AK134" s="296"/>
    </row>
    <row r="135" spans="1:37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7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7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7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7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7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7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7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7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7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</sheetData>
  <mergeCells count="1">
    <mergeCell ref="A2:F2"/>
  </mergeCells>
  <conditionalFormatting sqref="AC17">
    <cfRule type="cellIs" dxfId="62" priority="1" operator="lessThan">
      <formula>0</formula>
    </cfRule>
    <cfRule type="cellIs" dxfId="61" priority="2" operator="greaterThan">
      <formula>0</formula>
    </cfRule>
    <cfRule type="cellIs" dxfId="60" priority="3" operator="equal">
      <formula>0</formula>
    </cfRule>
  </conditionalFormatting>
  <pageMargins left="0.39370078740157483" right="0.19685039370078741" top="0.74803149606299213" bottom="0.74803149606299213" header="0.31496062992125984" footer="0.31496062992125984"/>
  <pageSetup paperSize="9" scale="77" fitToHeight="0" orientation="portrait" r:id="rId1"/>
  <colBreaks count="1" manualBreakCount="1">
    <brk id="19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65"/>
  <sheetViews>
    <sheetView view="pageBreakPreview" zoomScale="90" zoomScaleSheetLayoutView="90" workbookViewId="0">
      <pane xSplit="4" ySplit="7" topLeftCell="AE8" activePane="bottomRight" state="frozen"/>
      <selection pane="topRight" activeCell="E1" sqref="E1"/>
      <selection pane="bottomLeft" activeCell="A8" sqref="A8"/>
      <selection pane="bottomRight" activeCell="P15" sqref="P15"/>
    </sheetView>
  </sheetViews>
  <sheetFormatPr defaultColWidth="9.109375" defaultRowHeight="14.4" x14ac:dyDescent="0.3"/>
  <cols>
    <col min="1" max="1" width="5.109375" style="184" customWidth="1"/>
    <col min="2" max="2" width="19.88671875" style="184" customWidth="1"/>
    <col min="3" max="4" width="12" style="184" bestFit="1" customWidth="1"/>
    <col min="5" max="5" width="10.109375" style="184" customWidth="1"/>
    <col min="6" max="6" width="10.88671875" style="184" customWidth="1"/>
    <col min="7" max="8" width="7" style="184" customWidth="1"/>
    <col min="9" max="10" width="10.109375" style="184" customWidth="1"/>
    <col min="11" max="12" width="8.77734375" style="184" customWidth="1"/>
    <col min="13" max="14" width="7.88671875" style="184" customWidth="1"/>
    <col min="15" max="16" width="11" style="184" customWidth="1"/>
    <col min="17" max="22" width="10.109375" style="184" customWidth="1"/>
    <col min="23" max="24" width="8.77734375" style="184" customWidth="1"/>
    <col min="25" max="26" width="11" style="184" customWidth="1"/>
    <col min="27" max="30" width="8.77734375" style="184" customWidth="1"/>
    <col min="31" max="32" width="7.88671875" style="184" customWidth="1"/>
    <col min="33" max="34" width="10.109375" style="184" customWidth="1"/>
    <col min="35" max="35" width="10.109375" style="370" customWidth="1"/>
    <col min="36" max="36" width="10.109375" style="184" customWidth="1"/>
    <col min="37" max="37" width="12.88671875" style="184" customWidth="1"/>
    <col min="38" max="38" width="11" style="184" bestFit="1" customWidth="1"/>
    <col min="39" max="39" width="11.109375" style="184" customWidth="1"/>
    <col min="40" max="40" width="9.109375" style="184" hidden="1" customWidth="1"/>
    <col min="41" max="16384" width="9.109375" style="184"/>
  </cols>
  <sheetData>
    <row r="1" spans="1:49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361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87"/>
      <c r="AU1" s="87"/>
      <c r="AV1" s="296"/>
      <c r="AW1" s="296"/>
    </row>
    <row r="2" spans="1:49" ht="18" customHeight="1" x14ac:dyDescent="0.3">
      <c r="B2" s="355"/>
      <c r="C2" s="355"/>
      <c r="D2" s="355"/>
      <c r="E2" s="453" t="s">
        <v>542</v>
      </c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62"/>
      <c r="AJ2" s="355"/>
      <c r="AK2" s="355"/>
      <c r="AL2" s="357"/>
      <c r="AM2" s="53"/>
      <c r="AN2" s="53"/>
      <c r="AO2" s="53"/>
      <c r="AP2" s="53"/>
      <c r="AQ2" s="53"/>
      <c r="AR2" s="53"/>
      <c r="AS2" s="53"/>
      <c r="AT2" s="87"/>
      <c r="AU2" s="87"/>
      <c r="AV2" s="296"/>
      <c r="AW2" s="296"/>
    </row>
    <row r="3" spans="1:49" x14ac:dyDescent="0.3">
      <c r="A3" s="53"/>
      <c r="B3" s="358"/>
      <c r="C3" s="358"/>
      <c r="D3" s="358"/>
      <c r="E3" s="358"/>
      <c r="F3" s="358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361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87"/>
      <c r="AU3" s="87"/>
      <c r="AV3" s="296"/>
      <c r="AW3" s="296"/>
    </row>
    <row r="4" spans="1:49" x14ac:dyDescent="0.3">
      <c r="A4" s="53"/>
      <c r="B4" s="358"/>
      <c r="C4" s="358"/>
      <c r="D4" s="358"/>
      <c r="E4" s="358"/>
      <c r="F4" s="358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361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87"/>
      <c r="AU4" s="87"/>
      <c r="AV4" s="296"/>
      <c r="AW4" s="296"/>
    </row>
    <row r="5" spans="1:49" ht="15" customHeight="1" x14ac:dyDescent="0.3">
      <c r="A5" s="443"/>
      <c r="B5" s="445" t="s">
        <v>499</v>
      </c>
      <c r="C5" s="447" t="s">
        <v>518</v>
      </c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  <c r="AK5" s="448"/>
      <c r="AL5" s="448"/>
      <c r="AM5" s="448"/>
      <c r="AN5" s="449"/>
      <c r="AO5" s="53"/>
      <c r="AP5" s="53"/>
      <c r="AQ5" s="53"/>
      <c r="AR5" s="53"/>
      <c r="AS5" s="53"/>
      <c r="AT5" s="87"/>
      <c r="AU5" s="87"/>
      <c r="AV5" s="296"/>
      <c r="AW5" s="296"/>
    </row>
    <row r="6" spans="1:49" ht="30" customHeight="1" x14ac:dyDescent="0.3">
      <c r="A6" s="444"/>
      <c r="B6" s="446"/>
      <c r="C6" s="454" t="s">
        <v>498</v>
      </c>
      <c r="D6" s="455"/>
      <c r="E6" s="451" t="s">
        <v>497</v>
      </c>
      <c r="F6" s="452"/>
      <c r="G6" s="451" t="s">
        <v>496</v>
      </c>
      <c r="H6" s="452"/>
      <c r="I6" s="451" t="s">
        <v>495</v>
      </c>
      <c r="J6" s="452"/>
      <c r="K6" s="451" t="s">
        <v>494</v>
      </c>
      <c r="L6" s="452"/>
      <c r="M6" s="451" t="s">
        <v>493</v>
      </c>
      <c r="N6" s="452"/>
      <c r="O6" s="451" t="s">
        <v>492</v>
      </c>
      <c r="P6" s="452"/>
      <c r="Q6" s="451" t="s">
        <v>181</v>
      </c>
      <c r="R6" s="452"/>
      <c r="S6" s="451" t="s">
        <v>472</v>
      </c>
      <c r="T6" s="452"/>
      <c r="U6" s="451" t="s">
        <v>491</v>
      </c>
      <c r="V6" s="452"/>
      <c r="W6" s="451" t="s">
        <v>490</v>
      </c>
      <c r="X6" s="452"/>
      <c r="Y6" s="451" t="s">
        <v>489</v>
      </c>
      <c r="Z6" s="452"/>
      <c r="AA6" s="451" t="s">
        <v>471</v>
      </c>
      <c r="AB6" s="452"/>
      <c r="AC6" s="451" t="s">
        <v>526</v>
      </c>
      <c r="AD6" s="452"/>
      <c r="AE6" s="451" t="s">
        <v>535</v>
      </c>
      <c r="AF6" s="452"/>
      <c r="AG6" s="451" t="s">
        <v>537</v>
      </c>
      <c r="AH6" s="452"/>
      <c r="AI6" s="451" t="s">
        <v>550</v>
      </c>
      <c r="AJ6" s="452"/>
      <c r="AK6" s="53"/>
      <c r="AL6" s="53"/>
      <c r="AM6" s="53"/>
      <c r="AN6" s="53"/>
      <c r="AO6" s="53"/>
      <c r="AP6" s="53"/>
      <c r="AQ6" s="53"/>
      <c r="AR6" s="53"/>
      <c r="AS6" s="53"/>
      <c r="AT6" s="87"/>
      <c r="AU6" s="87"/>
      <c r="AV6" s="296"/>
      <c r="AW6" s="296"/>
    </row>
    <row r="7" spans="1:49" s="349" customFormat="1" ht="30" customHeight="1" x14ac:dyDescent="0.3">
      <c r="A7" s="344"/>
      <c r="B7" s="345"/>
      <c r="C7" s="346">
        <v>2019</v>
      </c>
      <c r="D7" s="346">
        <v>2020</v>
      </c>
      <c r="E7" s="346">
        <f>C7</f>
        <v>2019</v>
      </c>
      <c r="F7" s="346">
        <f>D7</f>
        <v>2020</v>
      </c>
      <c r="G7" s="346">
        <f t="shared" ref="G7:AH7" si="0">E7</f>
        <v>2019</v>
      </c>
      <c r="H7" s="346">
        <f t="shared" si="0"/>
        <v>2020</v>
      </c>
      <c r="I7" s="346">
        <f t="shared" si="0"/>
        <v>2019</v>
      </c>
      <c r="J7" s="346">
        <f t="shared" si="0"/>
        <v>2020</v>
      </c>
      <c r="K7" s="346">
        <f t="shared" si="0"/>
        <v>2019</v>
      </c>
      <c r="L7" s="346">
        <f t="shared" si="0"/>
        <v>2020</v>
      </c>
      <c r="M7" s="346">
        <f t="shared" si="0"/>
        <v>2019</v>
      </c>
      <c r="N7" s="346">
        <f t="shared" si="0"/>
        <v>2020</v>
      </c>
      <c r="O7" s="346">
        <f t="shared" si="0"/>
        <v>2019</v>
      </c>
      <c r="P7" s="346">
        <f t="shared" si="0"/>
        <v>2020</v>
      </c>
      <c r="Q7" s="346">
        <f t="shared" si="0"/>
        <v>2019</v>
      </c>
      <c r="R7" s="346">
        <f t="shared" si="0"/>
        <v>2020</v>
      </c>
      <c r="S7" s="346">
        <f t="shared" si="0"/>
        <v>2019</v>
      </c>
      <c r="T7" s="346">
        <f t="shared" si="0"/>
        <v>2020</v>
      </c>
      <c r="U7" s="346">
        <f t="shared" si="0"/>
        <v>2019</v>
      </c>
      <c r="V7" s="346">
        <f t="shared" si="0"/>
        <v>2020</v>
      </c>
      <c r="W7" s="346">
        <f t="shared" si="0"/>
        <v>2019</v>
      </c>
      <c r="X7" s="346">
        <f t="shared" si="0"/>
        <v>2020</v>
      </c>
      <c r="Y7" s="346">
        <f t="shared" si="0"/>
        <v>2019</v>
      </c>
      <c r="Z7" s="346">
        <f t="shared" si="0"/>
        <v>2020</v>
      </c>
      <c r="AA7" s="346">
        <f t="shared" si="0"/>
        <v>2019</v>
      </c>
      <c r="AB7" s="346">
        <f t="shared" si="0"/>
        <v>2020</v>
      </c>
      <c r="AC7" s="346">
        <f t="shared" si="0"/>
        <v>2019</v>
      </c>
      <c r="AD7" s="346">
        <f t="shared" si="0"/>
        <v>2020</v>
      </c>
      <c r="AE7" s="346">
        <f t="shared" si="0"/>
        <v>2019</v>
      </c>
      <c r="AF7" s="346">
        <f t="shared" si="0"/>
        <v>2020</v>
      </c>
      <c r="AG7" s="346">
        <f t="shared" si="0"/>
        <v>2019</v>
      </c>
      <c r="AH7" s="346">
        <f t="shared" si="0"/>
        <v>2020</v>
      </c>
      <c r="AI7" s="363" t="s">
        <v>492</v>
      </c>
      <c r="AJ7" s="346" t="s">
        <v>489</v>
      </c>
      <c r="AK7" s="343"/>
      <c r="AL7" s="343"/>
      <c r="AM7" s="343"/>
      <c r="AN7" s="343"/>
      <c r="AO7" s="343"/>
      <c r="AP7" s="343"/>
      <c r="AQ7" s="343"/>
      <c r="AR7" s="343"/>
      <c r="AS7" s="343"/>
      <c r="AT7" s="347"/>
      <c r="AU7" s="347"/>
      <c r="AV7" s="348"/>
      <c r="AW7" s="348"/>
    </row>
    <row r="8" spans="1:49" ht="30" customHeight="1" x14ac:dyDescent="0.3">
      <c r="A8" s="299" t="s">
        <v>500</v>
      </c>
      <c r="B8" s="299" t="s">
        <v>191</v>
      </c>
      <c r="C8" s="297" t="e">
        <f>E8+G8+I8+K8+M8+O8+Q8+S8+U8+W8+Y8+AA8+AC8+AE8+AG8</f>
        <v>#REF!</v>
      </c>
      <c r="D8" s="297" t="e">
        <f>F8+H8+J8+L8+N8+P8+R8+T8+V8+X8+Z8+AB8+AD8+AF8+AH8</f>
        <v>#REF!</v>
      </c>
      <c r="E8" s="301">
        <f>'ст.211,212,213'!F19</f>
        <v>0</v>
      </c>
      <c r="F8" s="301" t="e">
        <f>'ст.211,212,213'!G19-'ст.211,212,213'!#REF!</f>
        <v>#REF!</v>
      </c>
      <c r="G8" s="301">
        <f>'ст.211,212,213'!F37</f>
        <v>0</v>
      </c>
      <c r="H8" s="301">
        <f>'ст.211,212,213'!G37</f>
        <v>0</v>
      </c>
      <c r="I8" s="301">
        <f>'ст.211,212,213'!F21</f>
        <v>0</v>
      </c>
      <c r="J8" s="301" t="e">
        <f>'ст.211,212,213'!G21-'ст.211,212,213'!#REF!</f>
        <v>#REF!</v>
      </c>
      <c r="K8" s="301">
        <f>ст.221!F31</f>
        <v>0</v>
      </c>
      <c r="L8" s="301">
        <f>ст.221!G31</f>
        <v>0</v>
      </c>
      <c r="M8" s="301">
        <f>ст.222!F27</f>
        <v>0</v>
      </c>
      <c r="N8" s="301">
        <f>ст.222!G27</f>
        <v>0</v>
      </c>
      <c r="O8" s="301">
        <f>ст.223!F43</f>
        <v>0</v>
      </c>
      <c r="P8" s="301">
        <f>ст.223!G43</f>
        <v>0</v>
      </c>
      <c r="Q8" s="301">
        <f>ст.225!F109</f>
        <v>0</v>
      </c>
      <c r="R8" s="301">
        <f>ст.225!G109</f>
        <v>0</v>
      </c>
      <c r="S8" s="301">
        <f>'ст.226-227'!F110</f>
        <v>0</v>
      </c>
      <c r="T8" s="301">
        <f>'ст.226-227'!G110</f>
        <v>0</v>
      </c>
      <c r="U8" s="301">
        <f>ст.290!F18</f>
        <v>0</v>
      </c>
      <c r="V8" s="301">
        <f>ст.290!G18</f>
        <v>0</v>
      </c>
      <c r="W8" s="301">
        <f>ст.310!F39</f>
        <v>0</v>
      </c>
      <c r="X8" s="301">
        <f>ст.310!G39</f>
        <v>0</v>
      </c>
      <c r="Y8" s="330">
        <f>'ст.340 '!F70</f>
        <v>0</v>
      </c>
      <c r="Z8" s="330">
        <f>'ст.340 '!G70+AJ8</f>
        <v>-450000</v>
      </c>
      <c r="AA8" s="301">
        <f>'ст.211,212,213'!F22</f>
        <v>0</v>
      </c>
      <c r="AB8" s="301">
        <f>'ст.211,212,213'!G22</f>
        <v>0</v>
      </c>
      <c r="AC8" s="301" t="e">
        <f>'ст.226-227'!#REF!</f>
        <v>#REF!</v>
      </c>
      <c r="AD8" s="301" t="e">
        <f>'ст.226-227'!#REF!</f>
        <v>#REF!</v>
      </c>
      <c r="AE8" s="301"/>
      <c r="AF8" s="301"/>
      <c r="AG8" s="301"/>
      <c r="AH8" s="301"/>
      <c r="AI8" s="364"/>
      <c r="AJ8" s="301">
        <v>-450000</v>
      </c>
      <c r="AK8" s="160" t="e">
        <f>6223638.31+80000+44135=ROUND(C8,2)</f>
        <v>#REF!</v>
      </c>
      <c r="AL8" s="160" t="e">
        <f>5976185.63+80000=ROUND(D8,2)</f>
        <v>#REF!</v>
      </c>
      <c r="AM8" s="53"/>
      <c r="AN8" s="53"/>
      <c r="AO8" s="53"/>
      <c r="AP8" s="53"/>
      <c r="AQ8" s="53"/>
      <c r="AR8" s="53"/>
      <c r="AS8" s="53"/>
      <c r="AT8" s="87"/>
      <c r="AU8" s="87"/>
      <c r="AV8" s="296"/>
      <c r="AW8" s="296"/>
    </row>
    <row r="9" spans="1:49" ht="30" customHeight="1" x14ac:dyDescent="0.3">
      <c r="A9" s="299" t="s">
        <v>501</v>
      </c>
      <c r="B9" s="299" t="s">
        <v>192</v>
      </c>
      <c r="C9" s="297" t="e">
        <f t="shared" ref="C9:D15" si="1">E9+G9+I9+K9+M9+O9+Q9+S9+U9+W9+Y9+AA9+AC9+AE9+AG9</f>
        <v>#REF!</v>
      </c>
      <c r="D9" s="297" t="e">
        <f t="shared" si="1"/>
        <v>#REF!</v>
      </c>
      <c r="E9" s="301" t="e">
        <f>'ст.211,212,213'!#REF!</f>
        <v>#REF!</v>
      </c>
      <c r="F9" s="301" t="e">
        <f>'ст.211,212,213'!#REF!-'ст.211,212,213'!#REF!</f>
        <v>#REF!</v>
      </c>
      <c r="G9" s="300" t="e">
        <f>'ст.211,212,213'!#REF!</f>
        <v>#REF!</v>
      </c>
      <c r="H9" s="300" t="e">
        <f>'ст.211,212,213'!#REF!</f>
        <v>#REF!</v>
      </c>
      <c r="I9" s="300" t="e">
        <f>'ст.211,212,213'!#REF!</f>
        <v>#REF!</v>
      </c>
      <c r="J9" s="300" t="e">
        <f>'ст.211,212,213'!#REF!-'ст.211,212,213'!#REF!</f>
        <v>#REF!</v>
      </c>
      <c r="K9" s="301" t="e">
        <f>ст.221!#REF!</f>
        <v>#REF!</v>
      </c>
      <c r="L9" s="301" t="e">
        <f>ст.221!#REF!</f>
        <v>#REF!</v>
      </c>
      <c r="M9" s="301" t="e">
        <f>ст.222!#REF!</f>
        <v>#REF!</v>
      </c>
      <c r="N9" s="301" t="e">
        <f>ст.222!#REF!</f>
        <v>#REF!</v>
      </c>
      <c r="O9" s="301" t="e">
        <f>ст.223!#REF!</f>
        <v>#REF!</v>
      </c>
      <c r="P9" s="301" t="e">
        <f>ст.223!#REF!+AI9</f>
        <v>#REF!</v>
      </c>
      <c r="Q9" s="301" t="e">
        <f>ст.225!#REF!</f>
        <v>#REF!</v>
      </c>
      <c r="R9" s="301" t="e">
        <f>ст.225!#REF!</f>
        <v>#REF!</v>
      </c>
      <c r="S9" s="301" t="e">
        <f>'ст.226-227'!#REF!</f>
        <v>#REF!</v>
      </c>
      <c r="T9" s="301" t="e">
        <f>'ст.226-227'!#REF!</f>
        <v>#REF!</v>
      </c>
      <c r="U9" s="301" t="e">
        <f>ст.290!#REF!</f>
        <v>#REF!</v>
      </c>
      <c r="V9" s="301" t="e">
        <f>ст.290!#REF!</f>
        <v>#REF!</v>
      </c>
      <c r="W9" s="301" t="e">
        <f>ст.310!#REF!</f>
        <v>#REF!</v>
      </c>
      <c r="X9" s="301" t="e">
        <f>ст.310!#REF!</f>
        <v>#REF!</v>
      </c>
      <c r="Y9" s="330" t="e">
        <f>'ст.340 '!#REF!</f>
        <v>#REF!</v>
      </c>
      <c r="Z9" s="330" t="e">
        <f>'ст.340 '!#REF!+AJ9</f>
        <v>#REF!</v>
      </c>
      <c r="AA9" s="301" t="e">
        <f>'ст.211,212,213'!#REF!</f>
        <v>#REF!</v>
      </c>
      <c r="AB9" s="301" t="e">
        <f>'ст.211,212,213'!#REF!</f>
        <v>#REF!</v>
      </c>
      <c r="AC9" s="301" t="e">
        <f>'ст.226-227'!#REF!</f>
        <v>#REF!</v>
      </c>
      <c r="AD9" s="301" t="e">
        <f>'ст.226-227'!#REF!</f>
        <v>#REF!</v>
      </c>
      <c r="AE9" s="301"/>
      <c r="AF9" s="301"/>
      <c r="AG9" s="301"/>
      <c r="AH9" s="301"/>
      <c r="AI9" s="364">
        <v>-150000</v>
      </c>
      <c r="AJ9" s="301">
        <v>-540000</v>
      </c>
      <c r="AK9" s="160" t="e">
        <f>6838949.57+70000=ROUND(C9,2)</f>
        <v>#REF!</v>
      </c>
      <c r="AL9" s="160" t="e">
        <f>6413630.06+70000=ROUND(D9,2)</f>
        <v>#REF!</v>
      </c>
      <c r="AM9" s="53"/>
      <c r="AN9" s="53"/>
      <c r="AO9" s="53"/>
      <c r="AP9" s="53"/>
      <c r="AQ9" s="53"/>
      <c r="AR9" s="53"/>
      <c r="AS9" s="53"/>
      <c r="AT9" s="87"/>
      <c r="AU9" s="87"/>
      <c r="AV9" s="296"/>
      <c r="AW9" s="296"/>
    </row>
    <row r="10" spans="1:49" ht="30" customHeight="1" x14ac:dyDescent="0.3">
      <c r="A10" s="299" t="s">
        <v>502</v>
      </c>
      <c r="B10" s="299" t="s">
        <v>193</v>
      </c>
      <c r="C10" s="297" t="e">
        <f t="shared" si="1"/>
        <v>#REF!</v>
      </c>
      <c r="D10" s="297" t="e">
        <f t="shared" si="1"/>
        <v>#REF!</v>
      </c>
      <c r="E10" s="301" t="e">
        <f>'ст.211,212,213'!#REF!</f>
        <v>#REF!</v>
      </c>
      <c r="F10" s="301" t="e">
        <f>'ст.211,212,213'!#REF!-'ст.211,212,213'!#REF!</f>
        <v>#REF!</v>
      </c>
      <c r="G10" s="300" t="e">
        <f>'ст.211,212,213'!#REF!</f>
        <v>#REF!</v>
      </c>
      <c r="H10" s="300" t="e">
        <f>'ст.211,212,213'!#REF!</f>
        <v>#REF!</v>
      </c>
      <c r="I10" s="300" t="e">
        <f>'ст.211,212,213'!#REF!</f>
        <v>#REF!</v>
      </c>
      <c r="J10" s="300" t="e">
        <f>'ст.211,212,213'!#REF!-'ст.211,212,213'!#REF!</f>
        <v>#REF!</v>
      </c>
      <c r="K10" s="301" t="e">
        <f>ст.221!#REF!</f>
        <v>#REF!</v>
      </c>
      <c r="L10" s="301" t="e">
        <f>ст.221!#REF!</f>
        <v>#REF!</v>
      </c>
      <c r="M10" s="301" t="e">
        <f>ст.222!#REF!</f>
        <v>#REF!</v>
      </c>
      <c r="N10" s="301" t="e">
        <f>ст.222!#REF!</f>
        <v>#REF!</v>
      </c>
      <c r="O10" s="301" t="e">
        <f>ст.223!#REF!</f>
        <v>#REF!</v>
      </c>
      <c r="P10" s="301" t="e">
        <f>ст.223!#REF!</f>
        <v>#REF!</v>
      </c>
      <c r="Q10" s="301" t="e">
        <f>ст.225!#REF!</f>
        <v>#REF!</v>
      </c>
      <c r="R10" s="301" t="e">
        <f>ст.225!#REF!</f>
        <v>#REF!</v>
      </c>
      <c r="S10" s="301" t="e">
        <f>'ст.226-227'!#REF!</f>
        <v>#REF!</v>
      </c>
      <c r="T10" s="301" t="e">
        <f>'ст.226-227'!#REF!</f>
        <v>#REF!</v>
      </c>
      <c r="U10" s="301" t="e">
        <f>ст.290!#REF!</f>
        <v>#REF!</v>
      </c>
      <c r="V10" s="301" t="e">
        <f>ст.290!#REF!</f>
        <v>#REF!</v>
      </c>
      <c r="W10" s="301" t="e">
        <f>ст.310!#REF!</f>
        <v>#REF!</v>
      </c>
      <c r="X10" s="301" t="e">
        <f>ст.310!#REF!</f>
        <v>#REF!</v>
      </c>
      <c r="Y10" s="330" t="e">
        <f>'ст.340 '!#REF!</f>
        <v>#REF!</v>
      </c>
      <c r="Z10" s="330" t="e">
        <f>'ст.340 '!#REF!</f>
        <v>#REF!</v>
      </c>
      <c r="AA10" s="301" t="e">
        <f>'ст.211,212,213'!#REF!</f>
        <v>#REF!</v>
      </c>
      <c r="AB10" s="301" t="e">
        <f>'ст.211,212,213'!#REF!</f>
        <v>#REF!</v>
      </c>
      <c r="AC10" s="301" t="e">
        <f>'ст.226-227'!#REF!</f>
        <v>#REF!</v>
      </c>
      <c r="AD10" s="301" t="e">
        <f>'ст.226-227'!#REF!</f>
        <v>#REF!</v>
      </c>
      <c r="AE10" s="301"/>
      <c r="AF10" s="301"/>
      <c r="AG10" s="301"/>
      <c r="AH10" s="301"/>
      <c r="AI10" s="364"/>
      <c r="AJ10" s="301"/>
      <c r="AK10" s="160" t="e">
        <f>6440544.31+100000+92020=ROUND(C10,2)</f>
        <v>#REF!</v>
      </c>
      <c r="AL10" s="160" t="e">
        <f>6565559.63=ROUND(D10,2)</f>
        <v>#REF!</v>
      </c>
      <c r="AM10" s="53"/>
      <c r="AN10" s="53"/>
      <c r="AO10" s="53"/>
      <c r="AP10" s="53"/>
      <c r="AQ10" s="53"/>
      <c r="AR10" s="53"/>
      <c r="AS10" s="53"/>
      <c r="AT10" s="87"/>
      <c r="AU10" s="87"/>
      <c r="AV10" s="296"/>
      <c r="AW10" s="296"/>
    </row>
    <row r="11" spans="1:49" ht="30" customHeight="1" x14ac:dyDescent="0.3">
      <c r="A11" s="299" t="s">
        <v>503</v>
      </c>
      <c r="B11" s="299" t="s">
        <v>194</v>
      </c>
      <c r="C11" s="297" t="e">
        <f t="shared" si="1"/>
        <v>#REF!</v>
      </c>
      <c r="D11" s="297" t="e">
        <f t="shared" si="1"/>
        <v>#REF!</v>
      </c>
      <c r="E11" s="301" t="e">
        <f>'ст.211,212,213'!#REF!</f>
        <v>#REF!</v>
      </c>
      <c r="F11" s="301" t="e">
        <f>'ст.211,212,213'!#REF!-'ст.211,212,213'!#REF!</f>
        <v>#REF!</v>
      </c>
      <c r="G11" s="301" t="e">
        <f>'ст.211,212,213'!#REF!</f>
        <v>#REF!</v>
      </c>
      <c r="H11" s="301" t="e">
        <f>'ст.211,212,213'!#REF!</f>
        <v>#REF!</v>
      </c>
      <c r="I11" s="301" t="e">
        <f>'ст.211,212,213'!#REF!</f>
        <v>#REF!</v>
      </c>
      <c r="J11" s="301" t="e">
        <f>'ст.211,212,213'!#REF!-'ст.211,212,213'!#REF!</f>
        <v>#REF!</v>
      </c>
      <c r="K11" s="301" t="e">
        <f>ст.221!#REF!</f>
        <v>#REF!</v>
      </c>
      <c r="L11" s="301" t="e">
        <f>ст.221!#REF!</f>
        <v>#REF!</v>
      </c>
      <c r="M11" s="301" t="e">
        <f>ст.222!#REF!</f>
        <v>#REF!</v>
      </c>
      <c r="N11" s="301" t="e">
        <f>ст.222!#REF!</f>
        <v>#REF!</v>
      </c>
      <c r="O11" s="301" t="e">
        <f>ст.223!#REF!</f>
        <v>#REF!</v>
      </c>
      <c r="P11" s="301" t="e">
        <f>ст.223!#REF!+AI11</f>
        <v>#REF!</v>
      </c>
      <c r="Q11" s="301" t="e">
        <f>ст.225!#REF!</f>
        <v>#REF!</v>
      </c>
      <c r="R11" s="301" t="e">
        <f>ст.225!#REF!</f>
        <v>#REF!</v>
      </c>
      <c r="S11" s="301" t="e">
        <f>'ст.226-227'!#REF!</f>
        <v>#REF!</v>
      </c>
      <c r="T11" s="301" t="e">
        <f>'ст.226-227'!#REF!</f>
        <v>#REF!</v>
      </c>
      <c r="U11" s="301" t="e">
        <f>ст.290!#REF!</f>
        <v>#REF!</v>
      </c>
      <c r="V11" s="301" t="e">
        <f>ст.290!#REF!</f>
        <v>#REF!</v>
      </c>
      <c r="W11" s="301" t="e">
        <f>ст.310!#REF!</f>
        <v>#REF!</v>
      </c>
      <c r="X11" s="301" t="e">
        <f>ст.310!#REF!</f>
        <v>#REF!</v>
      </c>
      <c r="Y11" s="330" t="e">
        <f>'ст.340 '!#REF!</f>
        <v>#REF!</v>
      </c>
      <c r="Z11" s="330" t="e">
        <f>'ст.340 '!#REF!+AJ11</f>
        <v>#REF!</v>
      </c>
      <c r="AA11" s="301" t="e">
        <f>'ст.211,212,213'!#REF!</f>
        <v>#REF!</v>
      </c>
      <c r="AB11" s="301" t="e">
        <f>'ст.211,212,213'!#REF!</f>
        <v>#REF!</v>
      </c>
      <c r="AC11" s="301" t="e">
        <f>'ст.226-227'!#REF!</f>
        <v>#REF!</v>
      </c>
      <c r="AD11" s="301" t="e">
        <f>'ст.226-227'!#REF!</f>
        <v>#REF!</v>
      </c>
      <c r="AE11" s="301"/>
      <c r="AF11" s="301"/>
      <c r="AG11" s="301"/>
      <c r="AH11" s="301"/>
      <c r="AI11" s="364">
        <v>-1000000</v>
      </c>
      <c r="AJ11" s="301">
        <v>-50000</v>
      </c>
      <c r="AK11" s="160" t="e">
        <f>6962924.46+100000=ROUND(C11,2)</f>
        <v>#REF!</v>
      </c>
      <c r="AL11" s="160" t="e">
        <f>7384868.22+100000=ROUND(D11,2)</f>
        <v>#REF!</v>
      </c>
      <c r="AM11" s="53"/>
      <c r="AN11" s="53"/>
      <c r="AO11" s="53"/>
      <c r="AP11" s="53"/>
      <c r="AQ11" s="53"/>
      <c r="AR11" s="53"/>
      <c r="AS11" s="53"/>
      <c r="AT11" s="87"/>
      <c r="AU11" s="87"/>
      <c r="AV11" s="296"/>
      <c r="AW11" s="296"/>
    </row>
    <row r="12" spans="1:49" ht="30" customHeight="1" x14ac:dyDescent="0.3">
      <c r="A12" s="299" t="s">
        <v>504</v>
      </c>
      <c r="B12" s="299" t="s">
        <v>195</v>
      </c>
      <c r="C12" s="297" t="e">
        <f t="shared" si="1"/>
        <v>#REF!</v>
      </c>
      <c r="D12" s="297" t="e">
        <f t="shared" si="1"/>
        <v>#REF!</v>
      </c>
      <c r="E12" s="301" t="e">
        <f>ROUND('ст.211,212,213'!#REF!,2)</f>
        <v>#REF!</v>
      </c>
      <c r="F12" s="301" t="e">
        <f>ROUND('ст.211,212,213'!#REF!-'ст.211,212,213'!#REF!,2)</f>
        <v>#REF!</v>
      </c>
      <c r="G12" s="300" t="e">
        <f>'ст.211,212,213'!#REF!</f>
        <v>#REF!</v>
      </c>
      <c r="H12" s="300" t="e">
        <f>'ст.211,212,213'!#REF!</f>
        <v>#REF!</v>
      </c>
      <c r="I12" s="300" t="e">
        <f>ROUND('ст.211,212,213'!#REF!,2)</f>
        <v>#REF!</v>
      </c>
      <c r="J12" s="300" t="e">
        <f>ROUND('ст.211,212,213'!#REF!-'ст.211,212,213'!#REF!,2)</f>
        <v>#REF!</v>
      </c>
      <c r="K12" s="301" t="e">
        <f>ст.221!#REF!</f>
        <v>#REF!</v>
      </c>
      <c r="L12" s="301" t="e">
        <f>ст.221!#REF!</f>
        <v>#REF!</v>
      </c>
      <c r="M12" s="301" t="e">
        <f>ст.222!#REF!</f>
        <v>#REF!</v>
      </c>
      <c r="N12" s="301" t="e">
        <f>ст.222!#REF!</f>
        <v>#REF!</v>
      </c>
      <c r="O12" s="301" t="e">
        <f>ROUND(ст.223!#REF!,2)</f>
        <v>#REF!</v>
      </c>
      <c r="P12" s="301" t="e">
        <f>ROUND(ст.223!#REF!,2)</f>
        <v>#REF!</v>
      </c>
      <c r="Q12" s="301" t="e">
        <f>ст.225!#REF!</f>
        <v>#REF!</v>
      </c>
      <c r="R12" s="301" t="e">
        <f>ст.225!#REF!</f>
        <v>#REF!</v>
      </c>
      <c r="S12" s="301" t="e">
        <f>'ст.226-227'!#REF!</f>
        <v>#REF!</v>
      </c>
      <c r="T12" s="301" t="e">
        <f>'ст.226-227'!#REF!</f>
        <v>#REF!</v>
      </c>
      <c r="U12" s="301" t="e">
        <f>ст.290!#REF!</f>
        <v>#REF!</v>
      </c>
      <c r="V12" s="301" t="e">
        <f>ст.290!#REF!</f>
        <v>#REF!</v>
      </c>
      <c r="W12" s="301" t="e">
        <f>ст.310!#REF!</f>
        <v>#REF!</v>
      </c>
      <c r="X12" s="301" t="e">
        <f>ст.310!#REF!</f>
        <v>#REF!</v>
      </c>
      <c r="Y12" s="330" t="e">
        <f>'ст.340 '!#REF!</f>
        <v>#REF!</v>
      </c>
      <c r="Z12" s="330" t="e">
        <f>'ст.340 '!#REF!+AJ12</f>
        <v>#REF!</v>
      </c>
      <c r="AA12" s="301" t="e">
        <f>'ст.211,212,213'!#REF!</f>
        <v>#REF!</v>
      </c>
      <c r="AB12" s="301" t="e">
        <f>'ст.211,212,213'!#REF!</f>
        <v>#REF!</v>
      </c>
      <c r="AC12" s="301" t="e">
        <f>'ст.226-227'!#REF!</f>
        <v>#REF!</v>
      </c>
      <c r="AD12" s="301" t="e">
        <f>'ст.226-227'!#REF!</f>
        <v>#REF!</v>
      </c>
      <c r="AE12" s="301"/>
      <c r="AF12" s="301"/>
      <c r="AG12" s="301"/>
      <c r="AH12" s="301"/>
      <c r="AI12" s="364"/>
      <c r="AJ12" s="301">
        <v>-200000</v>
      </c>
      <c r="AK12" s="160" t="e">
        <f>6368017.74=ROUND(C12,2)</f>
        <v>#REF!</v>
      </c>
      <c r="AL12" s="160" t="e">
        <f>7238236.31=ROUND(D12,2)</f>
        <v>#REF!</v>
      </c>
      <c r="AM12" s="53"/>
      <c r="AN12" s="53"/>
      <c r="AO12" s="53"/>
      <c r="AP12" s="53"/>
      <c r="AQ12" s="53"/>
      <c r="AR12" s="53"/>
      <c r="AS12" s="53"/>
      <c r="AT12" s="87"/>
      <c r="AU12" s="87"/>
      <c r="AV12" s="296"/>
      <c r="AW12" s="296"/>
    </row>
    <row r="13" spans="1:49" ht="30" customHeight="1" x14ac:dyDescent="0.3">
      <c r="A13" s="299" t="s">
        <v>505</v>
      </c>
      <c r="B13" s="299" t="s">
        <v>197</v>
      </c>
      <c r="C13" s="297" t="e">
        <f t="shared" si="1"/>
        <v>#REF!</v>
      </c>
      <c r="D13" s="297" t="e">
        <f t="shared" si="1"/>
        <v>#REF!</v>
      </c>
      <c r="E13" s="301" t="e">
        <f>'ст.211,212,213'!#REF!</f>
        <v>#REF!</v>
      </c>
      <c r="F13" s="301" t="e">
        <f>'ст.211,212,213'!#REF!-'ст.211,212,213'!#REF!</f>
        <v>#REF!</v>
      </c>
      <c r="G13" s="300" t="e">
        <f>'ст.211,212,213'!#REF!</f>
        <v>#REF!</v>
      </c>
      <c r="H13" s="300" t="e">
        <f>'ст.211,212,213'!#REF!</f>
        <v>#REF!</v>
      </c>
      <c r="I13" s="300" t="e">
        <f>'ст.211,212,213'!#REF!</f>
        <v>#REF!</v>
      </c>
      <c r="J13" s="300" t="e">
        <f>'ст.211,212,213'!#REF!-'ст.211,212,213'!#REF!</f>
        <v>#REF!</v>
      </c>
      <c r="K13" s="301" t="e">
        <f>ст.221!#REF!</f>
        <v>#REF!</v>
      </c>
      <c r="L13" s="301" t="e">
        <f>ст.221!#REF!</f>
        <v>#REF!</v>
      </c>
      <c r="M13" s="301" t="e">
        <f>ст.222!#REF!</f>
        <v>#REF!</v>
      </c>
      <c r="N13" s="301" t="e">
        <f>ст.222!#REF!</f>
        <v>#REF!</v>
      </c>
      <c r="O13" s="301" t="e">
        <f>ст.223!#REF!</f>
        <v>#REF!</v>
      </c>
      <c r="P13" s="301" t="e">
        <f>ст.223!#REF!+AI13</f>
        <v>#REF!</v>
      </c>
      <c r="Q13" s="301" t="e">
        <f>ст.225!#REF!</f>
        <v>#REF!</v>
      </c>
      <c r="R13" s="301" t="e">
        <f>ст.225!#REF!</f>
        <v>#REF!</v>
      </c>
      <c r="S13" s="301" t="e">
        <f>'ст.226-227'!#REF!</f>
        <v>#REF!</v>
      </c>
      <c r="T13" s="301" t="e">
        <f>'ст.226-227'!#REF!</f>
        <v>#REF!</v>
      </c>
      <c r="U13" s="301" t="e">
        <f>ст.290!#REF!</f>
        <v>#REF!</v>
      </c>
      <c r="V13" s="301" t="e">
        <f>ст.290!#REF!</f>
        <v>#REF!</v>
      </c>
      <c r="W13" s="301" t="e">
        <f>ст.310!#REF!</f>
        <v>#REF!</v>
      </c>
      <c r="X13" s="301" t="e">
        <f>ст.310!#REF!</f>
        <v>#REF!</v>
      </c>
      <c r="Y13" s="330" t="e">
        <f>'ст.340 '!#REF!</f>
        <v>#REF!</v>
      </c>
      <c r="Z13" s="330" t="e">
        <f>'ст.340 '!#REF!</f>
        <v>#REF!</v>
      </c>
      <c r="AA13" s="301" t="e">
        <f>'ст.211,212,213'!#REF!</f>
        <v>#REF!</v>
      </c>
      <c r="AB13" s="301" t="e">
        <f>'ст.211,212,213'!#REF!</f>
        <v>#REF!</v>
      </c>
      <c r="AC13" s="301" t="e">
        <f>'ст.226-227'!#REF!</f>
        <v>#REF!</v>
      </c>
      <c r="AD13" s="301" t="e">
        <f>'ст.226-227'!#REF!</f>
        <v>#REF!</v>
      </c>
      <c r="AE13" s="301" t="e">
        <f>'ст.340 '!#REF!</f>
        <v>#REF!</v>
      </c>
      <c r="AF13" s="301" t="e">
        <f>'ст.340 '!#REF!</f>
        <v>#REF!</v>
      </c>
      <c r="AG13" s="301" t="e">
        <f>'ст.340 '!#REF!</f>
        <v>#REF!</v>
      </c>
      <c r="AH13" s="301" t="e">
        <f>'ст.340 '!#REF!</f>
        <v>#REF!</v>
      </c>
      <c r="AI13" s="364">
        <v>-140000</v>
      </c>
      <c r="AJ13" s="301"/>
      <c r="AK13" s="160" t="e">
        <f>9679498.06+56000=ROUND(C13,2)</f>
        <v>#REF!</v>
      </c>
      <c r="AL13" s="160" t="e">
        <f>9924666.09+42000=ROUND(D13,2)</f>
        <v>#REF!</v>
      </c>
      <c r="AM13" s="53"/>
      <c r="AN13" s="53"/>
      <c r="AO13" s="53"/>
      <c r="AP13" s="53"/>
      <c r="AQ13" s="53"/>
      <c r="AR13" s="53"/>
      <c r="AS13" s="53"/>
      <c r="AT13" s="87"/>
      <c r="AU13" s="87"/>
      <c r="AV13" s="296"/>
      <c r="AW13" s="296"/>
    </row>
    <row r="14" spans="1:49" ht="30" customHeight="1" x14ac:dyDescent="0.3">
      <c r="A14" s="299" t="s">
        <v>506</v>
      </c>
      <c r="B14" s="299" t="s">
        <v>198</v>
      </c>
      <c r="C14" s="297" t="e">
        <f t="shared" si="1"/>
        <v>#REF!</v>
      </c>
      <c r="D14" s="297" t="e">
        <f>F14+H14+J14+L14+N14+P14+R14+T14+V14+X14+Z14+AB14+AD14+AF14+AH14</f>
        <v>#REF!</v>
      </c>
      <c r="E14" s="301" t="e">
        <f>'ст.211,212,213'!#REF!</f>
        <v>#REF!</v>
      </c>
      <c r="F14" s="301" t="e">
        <f>'ст.211,212,213'!#REF!-'ст.211,212,213'!#REF!</f>
        <v>#REF!</v>
      </c>
      <c r="G14" s="301" t="e">
        <f>'ст.211,212,213'!#REF!</f>
        <v>#REF!</v>
      </c>
      <c r="H14" s="301" t="e">
        <f>'ст.211,212,213'!#REF!</f>
        <v>#REF!</v>
      </c>
      <c r="I14" s="301" t="e">
        <f>'ст.211,212,213'!#REF!</f>
        <v>#REF!</v>
      </c>
      <c r="J14" s="301" t="e">
        <f>'ст.211,212,213'!#REF!-'ст.211,212,213'!#REF!</f>
        <v>#REF!</v>
      </c>
      <c r="K14" s="301" t="e">
        <f>ст.221!#REF!</f>
        <v>#REF!</v>
      </c>
      <c r="L14" s="301" t="e">
        <f>ст.221!#REF!</f>
        <v>#REF!</v>
      </c>
      <c r="M14" s="301" t="e">
        <f>ст.222!#REF!</f>
        <v>#REF!</v>
      </c>
      <c r="N14" s="301" t="e">
        <f>ст.222!#REF!</f>
        <v>#REF!</v>
      </c>
      <c r="O14" s="301" t="e">
        <f>ст.223!#REF!</f>
        <v>#REF!</v>
      </c>
      <c r="P14" s="301" t="e">
        <f>ст.223!#REF!</f>
        <v>#REF!</v>
      </c>
      <c r="Q14" s="301" t="e">
        <f>ст.225!#REF!</f>
        <v>#REF!</v>
      </c>
      <c r="R14" s="301" t="e">
        <f>ст.225!#REF!</f>
        <v>#REF!</v>
      </c>
      <c r="S14" s="301" t="e">
        <f>'ст.226-227'!#REF!</f>
        <v>#REF!</v>
      </c>
      <c r="T14" s="301" t="e">
        <f>'ст.226-227'!#REF!</f>
        <v>#REF!</v>
      </c>
      <c r="U14" s="301" t="e">
        <f>ст.290!#REF!</f>
        <v>#REF!</v>
      </c>
      <c r="V14" s="301" t="e">
        <f>ст.290!#REF!</f>
        <v>#REF!</v>
      </c>
      <c r="W14" s="301" t="e">
        <f>ст.310!#REF!</f>
        <v>#REF!</v>
      </c>
      <c r="X14" s="301" t="e">
        <f>ст.310!#REF!</f>
        <v>#REF!</v>
      </c>
      <c r="Y14" s="330" t="e">
        <f>'ст.340 '!#REF!</f>
        <v>#REF!</v>
      </c>
      <c r="Z14" s="330" t="e">
        <f>'ст.340 '!#REF!</f>
        <v>#REF!</v>
      </c>
      <c r="AA14" s="301" t="e">
        <f>'ст.211,212,213'!#REF!</f>
        <v>#REF!</v>
      </c>
      <c r="AB14" s="301" t="e">
        <f>'ст.211,212,213'!#REF!</f>
        <v>#REF!</v>
      </c>
      <c r="AC14" s="301" t="e">
        <f>'ст.226-227'!#REF!</f>
        <v>#REF!</v>
      </c>
      <c r="AD14" s="301" t="e">
        <f>'ст.226-227'!#REF!</f>
        <v>#REF!</v>
      </c>
      <c r="AE14" s="301" t="e">
        <f>'ст.340 '!#REF!</f>
        <v>#REF!</v>
      </c>
      <c r="AF14" s="301" t="e">
        <f>'ст.340 '!#REF!</f>
        <v>#REF!</v>
      </c>
      <c r="AG14" s="301" t="e">
        <f>'ст.340 '!#REF!</f>
        <v>#REF!</v>
      </c>
      <c r="AH14" s="301" t="e">
        <f>'ст.340 '!#REF!</f>
        <v>#REF!</v>
      </c>
      <c r="AI14" s="364"/>
      <c r="AJ14" s="301"/>
      <c r="AK14" s="351" t="e">
        <f>5137581.61+351100-32340=ROUND(C14,2)</f>
        <v>#REF!</v>
      </c>
      <c r="AL14" s="160" t="e">
        <f>5216473.1+351000+14000=ROUND(D14,2)</f>
        <v>#REF!</v>
      </c>
      <c r="AM14" s="53"/>
      <c r="AN14" s="53"/>
      <c r="AO14" s="53"/>
      <c r="AP14" s="53"/>
      <c r="AQ14" s="53"/>
      <c r="AR14" s="53"/>
      <c r="AS14" s="53"/>
      <c r="AT14" s="87"/>
      <c r="AU14" s="87"/>
      <c r="AV14" s="296"/>
      <c r="AW14" s="296"/>
    </row>
    <row r="15" spans="1:49" ht="30" customHeight="1" x14ac:dyDescent="0.3">
      <c r="A15" s="299" t="s">
        <v>507</v>
      </c>
      <c r="B15" s="299" t="s">
        <v>196</v>
      </c>
      <c r="C15" s="297" t="e">
        <f t="shared" si="1"/>
        <v>#REF!</v>
      </c>
      <c r="D15" s="297" t="e">
        <f t="shared" si="1"/>
        <v>#REF!</v>
      </c>
      <c r="E15" s="300" t="e">
        <f>'ст.211,212,213'!#REF!</f>
        <v>#REF!</v>
      </c>
      <c r="F15" s="300" t="e">
        <f>'ст.211,212,213'!#REF!-'ст.211,212,213'!#REF!</f>
        <v>#REF!</v>
      </c>
      <c r="G15" s="300" t="e">
        <f>'ст.211,212,213'!#REF!</f>
        <v>#REF!</v>
      </c>
      <c r="H15" s="300" t="e">
        <f>'ст.211,212,213'!#REF!</f>
        <v>#REF!</v>
      </c>
      <c r="I15" s="300" t="e">
        <f>'ст.211,212,213'!#REF!</f>
        <v>#REF!</v>
      </c>
      <c r="J15" s="300" t="e">
        <f>'ст.211,212,213'!#REF!-'ст.211,212,213'!#REF!</f>
        <v>#REF!</v>
      </c>
      <c r="K15" s="300" t="e">
        <f>ст.221!#REF!</f>
        <v>#REF!</v>
      </c>
      <c r="L15" s="300" t="e">
        <f>ст.221!#REF!</f>
        <v>#REF!</v>
      </c>
      <c r="M15" s="300" t="e">
        <f>ст.222!#REF!</f>
        <v>#REF!</v>
      </c>
      <c r="N15" s="300" t="e">
        <f>ст.222!#REF!</f>
        <v>#REF!</v>
      </c>
      <c r="O15" s="300" t="e">
        <f>ст.223!#REF!</f>
        <v>#REF!</v>
      </c>
      <c r="P15" s="300" t="e">
        <f>ст.223!#REF!</f>
        <v>#REF!</v>
      </c>
      <c r="Q15" s="300" t="e">
        <f>ст.225!#REF!</f>
        <v>#REF!</v>
      </c>
      <c r="R15" s="300" t="e">
        <f>ст.225!#REF!</f>
        <v>#REF!</v>
      </c>
      <c r="S15" s="300" t="e">
        <f>'ст.226-227'!#REF!</f>
        <v>#REF!</v>
      </c>
      <c r="T15" s="300" t="e">
        <f>'ст.226-227'!#REF!</f>
        <v>#REF!</v>
      </c>
      <c r="U15" s="300" t="e">
        <f>ст.290!#REF!</f>
        <v>#REF!</v>
      </c>
      <c r="V15" s="300" t="e">
        <f>ст.290!#REF!</f>
        <v>#REF!</v>
      </c>
      <c r="W15" s="300" t="e">
        <f>ст.310!#REF!</f>
        <v>#REF!</v>
      </c>
      <c r="X15" s="300" t="e">
        <f>ст.310!#REF!</f>
        <v>#REF!</v>
      </c>
      <c r="Y15" s="331" t="e">
        <f>'ст.340 '!#REF!</f>
        <v>#REF!</v>
      </c>
      <c r="Z15" s="331" t="e">
        <f>'ст.340 '!#REF!+AJ15</f>
        <v>#REF!</v>
      </c>
      <c r="AA15" s="300" t="e">
        <f>'ст.211,212,213'!#REF!</f>
        <v>#REF!</v>
      </c>
      <c r="AB15" s="300" t="e">
        <f>'ст.211,212,213'!#REF!</f>
        <v>#REF!</v>
      </c>
      <c r="AC15" s="300" t="e">
        <f>'ст.226-227'!#REF!</f>
        <v>#REF!</v>
      </c>
      <c r="AD15" s="300" t="e">
        <f>'ст.226-227'!#REF!</f>
        <v>#REF!</v>
      </c>
      <c r="AE15" s="300"/>
      <c r="AF15" s="300"/>
      <c r="AG15" s="300" t="e">
        <f>'ст.340 '!#REF!</f>
        <v>#REF!</v>
      </c>
      <c r="AH15" s="300" t="e">
        <f>'ст.340 '!#REF!</f>
        <v>#REF!</v>
      </c>
      <c r="AI15" s="365"/>
      <c r="AJ15" s="300">
        <v>-140000</v>
      </c>
      <c r="AK15" s="160" t="e">
        <f>4037020.67+222000=ROUND(C15,2)</f>
        <v>#REF!</v>
      </c>
      <c r="AL15" s="160" t="e">
        <f>4140061.06+220000=ROUND(D15,2)</f>
        <v>#REF!</v>
      </c>
      <c r="AM15" s="53"/>
      <c r="AN15" s="53"/>
      <c r="AO15" s="53"/>
      <c r="AP15" s="53"/>
      <c r="AQ15" s="53"/>
      <c r="AR15" s="53"/>
      <c r="AS15" s="53"/>
      <c r="AT15" s="87"/>
      <c r="AU15" s="87"/>
      <c r="AV15" s="296"/>
      <c r="AW15" s="296"/>
    </row>
    <row r="16" spans="1:49" ht="30" customHeight="1" x14ac:dyDescent="0.3">
      <c r="A16" s="298"/>
      <c r="B16" s="62" t="s">
        <v>488</v>
      </c>
      <c r="C16" s="297" t="e">
        <f t="shared" ref="C16:AG16" si="2">SUM(C8:C15)</f>
        <v>#REF!</v>
      </c>
      <c r="D16" s="297" t="e">
        <f t="shared" ref="D16" si="3">SUM(D8:D15)</f>
        <v>#REF!</v>
      </c>
      <c r="E16" s="297" t="e">
        <f t="shared" si="2"/>
        <v>#REF!</v>
      </c>
      <c r="F16" s="297" t="e">
        <f t="shared" ref="F16" si="4">SUM(F8:F15)</f>
        <v>#REF!</v>
      </c>
      <c r="G16" s="297" t="e">
        <f t="shared" si="2"/>
        <v>#REF!</v>
      </c>
      <c r="H16" s="297" t="e">
        <f t="shared" ref="H16" si="5">SUM(H8:H15)</f>
        <v>#REF!</v>
      </c>
      <c r="I16" s="297" t="e">
        <f t="shared" si="2"/>
        <v>#REF!</v>
      </c>
      <c r="J16" s="297" t="e">
        <f t="shared" ref="J16" si="6">SUM(J8:J15)</f>
        <v>#REF!</v>
      </c>
      <c r="K16" s="297" t="e">
        <f t="shared" si="2"/>
        <v>#REF!</v>
      </c>
      <c r="L16" s="297" t="e">
        <f t="shared" ref="L16" si="7">SUM(L8:L15)</f>
        <v>#REF!</v>
      </c>
      <c r="M16" s="297" t="e">
        <f t="shared" si="2"/>
        <v>#REF!</v>
      </c>
      <c r="N16" s="297" t="e">
        <f t="shared" ref="N16" si="8">SUM(N8:N15)</f>
        <v>#REF!</v>
      </c>
      <c r="O16" s="297" t="e">
        <f t="shared" si="2"/>
        <v>#REF!</v>
      </c>
      <c r="P16" s="297" t="e">
        <f t="shared" ref="P16" si="9">SUM(P8:P15)</f>
        <v>#REF!</v>
      </c>
      <c r="Q16" s="297" t="e">
        <f t="shared" si="2"/>
        <v>#REF!</v>
      </c>
      <c r="R16" s="297" t="e">
        <f t="shared" ref="R16" si="10">SUM(R8:R15)</f>
        <v>#REF!</v>
      </c>
      <c r="S16" s="297" t="e">
        <f t="shared" si="2"/>
        <v>#REF!</v>
      </c>
      <c r="T16" s="297" t="e">
        <f t="shared" ref="T16" si="11">SUM(T8:T15)</f>
        <v>#REF!</v>
      </c>
      <c r="U16" s="297" t="e">
        <f t="shared" si="2"/>
        <v>#REF!</v>
      </c>
      <c r="V16" s="297" t="e">
        <f t="shared" ref="V16" si="12">SUM(V8:V15)</f>
        <v>#REF!</v>
      </c>
      <c r="W16" s="297" t="e">
        <f t="shared" si="2"/>
        <v>#REF!</v>
      </c>
      <c r="X16" s="297" t="e">
        <f t="shared" ref="X16" si="13">SUM(X8:X15)</f>
        <v>#REF!</v>
      </c>
      <c r="Y16" s="332" t="e">
        <f t="shared" si="2"/>
        <v>#REF!</v>
      </c>
      <c r="Z16" s="332" t="e">
        <f t="shared" ref="Z16" si="14">SUM(Z8:Z15)</f>
        <v>#REF!</v>
      </c>
      <c r="AA16" s="332" t="e">
        <f t="shared" si="2"/>
        <v>#REF!</v>
      </c>
      <c r="AB16" s="332" t="e">
        <f t="shared" ref="AB16" si="15">SUM(AB8:AB15)</f>
        <v>#REF!</v>
      </c>
      <c r="AC16" s="297" t="e">
        <f t="shared" si="2"/>
        <v>#REF!</v>
      </c>
      <c r="AD16" s="297" t="e">
        <f t="shared" ref="AD16" si="16">SUM(AD8:AD15)</f>
        <v>#REF!</v>
      </c>
      <c r="AE16" s="297" t="e">
        <f t="shared" si="2"/>
        <v>#REF!</v>
      </c>
      <c r="AF16" s="297" t="e">
        <f t="shared" ref="AF16" si="17">SUM(AF8:AF15)</f>
        <v>#REF!</v>
      </c>
      <c r="AG16" s="297" t="e">
        <f t="shared" si="2"/>
        <v>#REF!</v>
      </c>
      <c r="AH16" s="297" t="e">
        <f t="shared" ref="AH16:AJ16" si="18">SUM(AH8:AH15)</f>
        <v>#REF!</v>
      </c>
      <c r="AI16" s="366">
        <f t="shared" si="18"/>
        <v>-1290000</v>
      </c>
      <c r="AJ16" s="366">
        <f t="shared" si="18"/>
        <v>-1380000</v>
      </c>
      <c r="AK16" s="160" t="e">
        <f>E16+G16+I16+K16+M16+O16+Q16+S16+U16+W16+Y16+AA16+AC16+AE16+AG16</f>
        <v>#REF!</v>
      </c>
      <c r="AL16" s="160" t="e">
        <f>F16+H16+J16+L16+N16+P16+R16+T16+V16+X16+Z16+AB16+AD16+AF16+AH16</f>
        <v>#REF!</v>
      </c>
      <c r="AM16" s="160" t="e">
        <f>AK16-C16</f>
        <v>#REF!</v>
      </c>
      <c r="AN16" s="53"/>
      <c r="AO16" s="53"/>
      <c r="AP16" s="53"/>
      <c r="AQ16" s="53"/>
      <c r="AR16" s="53"/>
      <c r="AS16" s="53"/>
      <c r="AT16" s="87"/>
      <c r="AU16" s="87"/>
      <c r="AV16" s="296"/>
      <c r="AW16" s="296"/>
    </row>
    <row r="17" spans="1:49" x14ac:dyDescent="0.3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339"/>
      <c r="AB17" s="339"/>
      <c r="AC17" s="339"/>
      <c r="AD17" s="339"/>
      <c r="AE17" s="339"/>
      <c r="AF17" s="339"/>
      <c r="AG17" s="339"/>
      <c r="AH17" s="339"/>
      <c r="AI17" s="367"/>
      <c r="AJ17" s="359"/>
      <c r="AK17" s="160"/>
      <c r="AL17" s="160"/>
      <c r="AM17" s="53"/>
      <c r="AN17" s="53"/>
      <c r="AO17" s="53"/>
      <c r="AP17" s="53"/>
      <c r="AQ17" s="53"/>
      <c r="AR17" s="53"/>
      <c r="AS17" s="53"/>
      <c r="AT17" s="87"/>
      <c r="AU17" s="87"/>
      <c r="AV17" s="296"/>
      <c r="AW17" s="296"/>
    </row>
    <row r="18" spans="1:49" x14ac:dyDescent="0.3">
      <c r="A18" s="53"/>
      <c r="B18" s="53" t="s">
        <v>487</v>
      </c>
      <c r="C18" s="333" t="e">
        <f>'ст.211,212,213'!#REF!+'ст.211,212,213'!#REF!+'ст.211,212,213'!#REF!+'ст.211,212,213'!#REF!+ст.221!#REF!+ст.222!#REF!+ст.223!#REF!+ст.225!#REF!+'ст.226-227'!#REF!+ст.290!#REF!+ст.310!#REF!+'ст.340 '!#REF!</f>
        <v>#REF!</v>
      </c>
      <c r="D18" s="333" t="e">
        <f>'ст.211,212,213'!#REF!+'ст.211,212,213'!#REF!+'ст.211,212,213'!#REF!+'ст.211,212,213'!#REF!+ст.221!#REF!+ст.222!#REF!+ст.223!#REF!+ст.225!#REF!+'ст.226-227'!#REF!+ст.290!#REF!+ст.310!#REF!+'ст.340 '!#REF!</f>
        <v>#REF!</v>
      </c>
      <c r="E18" s="333" t="e">
        <f>'ст.211,212,213'!#REF!</f>
        <v>#REF!</v>
      </c>
      <c r="F18" s="333" t="e">
        <f>'ст.211,212,213'!#REF!</f>
        <v>#REF!</v>
      </c>
      <c r="G18" s="333" t="e">
        <f>'ст.211,212,213'!#REF!</f>
        <v>#REF!</v>
      </c>
      <c r="H18" s="333" t="e">
        <f>'ст.211,212,213'!#REF!</f>
        <v>#REF!</v>
      </c>
      <c r="I18" s="333" t="e">
        <f>'ст.211,212,213'!#REF!</f>
        <v>#REF!</v>
      </c>
      <c r="J18" s="333" t="e">
        <f>'ст.211,212,213'!#REF!</f>
        <v>#REF!</v>
      </c>
      <c r="K18" s="333" t="e">
        <f>ст.221!#REF!</f>
        <v>#REF!</v>
      </c>
      <c r="L18" s="333" t="e">
        <f>ст.221!#REF!</f>
        <v>#REF!</v>
      </c>
      <c r="M18" s="333" t="e">
        <f>ст.222!#REF!</f>
        <v>#REF!</v>
      </c>
      <c r="N18" s="333" t="e">
        <f>ст.222!#REF!</f>
        <v>#REF!</v>
      </c>
      <c r="O18" s="333" t="e">
        <f>ст.223!#REF!</f>
        <v>#REF!</v>
      </c>
      <c r="P18" s="333" t="e">
        <f>ст.223!#REF!</f>
        <v>#REF!</v>
      </c>
      <c r="Q18" s="333" t="e">
        <f>ст.225!#REF!</f>
        <v>#REF!</v>
      </c>
      <c r="R18" s="333" t="e">
        <f>ст.225!#REF!</f>
        <v>#REF!</v>
      </c>
      <c r="S18" s="333" t="e">
        <f>'ст.226-227'!#REF!</f>
        <v>#REF!</v>
      </c>
      <c r="T18" s="333" t="e">
        <f>'ст.226-227'!#REF!</f>
        <v>#REF!</v>
      </c>
      <c r="U18" s="333" t="e">
        <f>ст.290!#REF!</f>
        <v>#REF!</v>
      </c>
      <c r="V18" s="333" t="e">
        <f>ст.290!#REF!</f>
        <v>#REF!</v>
      </c>
      <c r="W18" s="333" t="e">
        <f>ст.310!#REF!</f>
        <v>#REF!</v>
      </c>
      <c r="X18" s="333" t="e">
        <f>ст.310!#REF!</f>
        <v>#REF!</v>
      </c>
      <c r="Y18" s="333" t="e">
        <f>'ст.340 '!#REF!</f>
        <v>#REF!</v>
      </c>
      <c r="Z18" s="333" t="e">
        <f>'ст.340 '!#REF!</f>
        <v>#REF!</v>
      </c>
      <c r="AA18" s="333" t="e">
        <f>'ст.211,212,213'!#REF!</f>
        <v>#REF!</v>
      </c>
      <c r="AB18" s="333" t="e">
        <f>'ст.211,212,213'!#REF!</f>
        <v>#REF!</v>
      </c>
      <c r="AC18" s="333" t="e">
        <f>'ст.226-227'!#REF!</f>
        <v>#REF!</v>
      </c>
      <c r="AD18" s="333" t="e">
        <f>'ст.226-227'!#REF!</f>
        <v>#REF!</v>
      </c>
      <c r="AE18" s="333" t="e">
        <f>'ст.340 '!#REF!</f>
        <v>#REF!</v>
      </c>
      <c r="AF18" s="333" t="e">
        <f>'ст.340 '!#REF!</f>
        <v>#REF!</v>
      </c>
      <c r="AG18" s="333" t="e">
        <f>'ст.340 '!#REF!</f>
        <v>#REF!</v>
      </c>
      <c r="AH18" s="333" t="e">
        <f>'ст.340 '!#REF!</f>
        <v>#REF!</v>
      </c>
      <c r="AI18" s="368"/>
      <c r="AJ18" s="360"/>
      <c r="AK18" s="53"/>
      <c r="AL18" s="53"/>
      <c r="AM18" s="53"/>
      <c r="AN18" s="53"/>
      <c r="AO18" s="53"/>
      <c r="AP18" s="53"/>
      <c r="AQ18" s="53"/>
      <c r="AR18" s="53"/>
      <c r="AS18" s="53"/>
      <c r="AT18" s="87"/>
      <c r="AU18" s="87"/>
      <c r="AV18" s="296"/>
      <c r="AW18" s="296"/>
    </row>
    <row r="19" spans="1:49" x14ac:dyDescent="0.3">
      <c r="A19" s="53"/>
      <c r="B19" s="53"/>
      <c r="C19" s="333" t="e">
        <f t="shared" ref="C19:Z19" si="19">C18-C16</f>
        <v>#REF!</v>
      </c>
      <c r="D19" s="333" t="e">
        <f t="shared" si="19"/>
        <v>#REF!</v>
      </c>
      <c r="E19" s="333" t="e">
        <f t="shared" si="19"/>
        <v>#REF!</v>
      </c>
      <c r="F19" s="333" t="e">
        <f t="shared" si="19"/>
        <v>#REF!</v>
      </c>
      <c r="G19" s="333" t="e">
        <f t="shared" si="19"/>
        <v>#REF!</v>
      </c>
      <c r="H19" s="333" t="e">
        <f t="shared" si="19"/>
        <v>#REF!</v>
      </c>
      <c r="I19" s="333" t="e">
        <f t="shared" si="19"/>
        <v>#REF!</v>
      </c>
      <c r="J19" s="333" t="e">
        <f t="shared" si="19"/>
        <v>#REF!</v>
      </c>
      <c r="K19" s="333" t="e">
        <f t="shared" si="19"/>
        <v>#REF!</v>
      </c>
      <c r="L19" s="333" t="e">
        <f t="shared" si="19"/>
        <v>#REF!</v>
      </c>
      <c r="M19" s="333" t="e">
        <f t="shared" si="19"/>
        <v>#REF!</v>
      </c>
      <c r="N19" s="333" t="e">
        <f t="shared" si="19"/>
        <v>#REF!</v>
      </c>
      <c r="O19" s="333" t="e">
        <f t="shared" si="19"/>
        <v>#REF!</v>
      </c>
      <c r="P19" s="333" t="e">
        <f t="shared" si="19"/>
        <v>#REF!</v>
      </c>
      <c r="Q19" s="333" t="e">
        <f t="shared" si="19"/>
        <v>#REF!</v>
      </c>
      <c r="R19" s="333" t="e">
        <f t="shared" si="19"/>
        <v>#REF!</v>
      </c>
      <c r="S19" s="333" t="e">
        <f t="shared" si="19"/>
        <v>#REF!</v>
      </c>
      <c r="T19" s="333" t="e">
        <f t="shared" si="19"/>
        <v>#REF!</v>
      </c>
      <c r="U19" s="333" t="e">
        <f t="shared" si="19"/>
        <v>#REF!</v>
      </c>
      <c r="V19" s="333" t="e">
        <f t="shared" si="19"/>
        <v>#REF!</v>
      </c>
      <c r="W19" s="333" t="e">
        <f t="shared" si="19"/>
        <v>#REF!</v>
      </c>
      <c r="X19" s="333" t="e">
        <f t="shared" si="19"/>
        <v>#REF!</v>
      </c>
      <c r="Y19" s="333" t="e">
        <f t="shared" si="19"/>
        <v>#REF!</v>
      </c>
      <c r="Z19" s="333" t="e">
        <f t="shared" si="19"/>
        <v>#REF!</v>
      </c>
      <c r="AA19" s="333"/>
      <c r="AB19" s="333"/>
      <c r="AC19" s="333"/>
      <c r="AD19" s="333"/>
      <c r="AE19" s="333"/>
      <c r="AF19" s="333"/>
      <c r="AG19" s="333"/>
      <c r="AH19" s="333"/>
      <c r="AI19" s="368"/>
      <c r="AJ19" s="360"/>
      <c r="AK19" s="53"/>
      <c r="AL19" s="53"/>
      <c r="AM19" s="53"/>
      <c r="AN19" s="53"/>
      <c r="AO19" s="53"/>
      <c r="AP19" s="53"/>
      <c r="AQ19" s="53"/>
      <c r="AR19" s="53"/>
      <c r="AS19" s="53"/>
      <c r="AT19" s="87"/>
      <c r="AU19" s="87"/>
      <c r="AV19" s="296"/>
      <c r="AW19" s="296"/>
    </row>
    <row r="20" spans="1:49" x14ac:dyDescent="0.3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361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87"/>
      <c r="AU20" s="87"/>
      <c r="AV20" s="296"/>
      <c r="AW20" s="296"/>
    </row>
    <row r="21" spans="1:49" x14ac:dyDescent="0.3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361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87"/>
      <c r="AU21" s="87"/>
      <c r="AV21" s="296"/>
      <c r="AW21" s="296"/>
    </row>
    <row r="22" spans="1:49" x14ac:dyDescent="0.3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361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87"/>
      <c r="AU22" s="87"/>
      <c r="AV22" s="296"/>
      <c r="AW22" s="296"/>
    </row>
    <row r="23" spans="1:49" x14ac:dyDescent="0.3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361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87"/>
      <c r="AU23" s="87"/>
      <c r="AV23" s="296"/>
      <c r="AW23" s="296"/>
    </row>
    <row r="24" spans="1:49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361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87"/>
      <c r="AU24" s="87"/>
      <c r="AV24" s="296"/>
      <c r="AW24" s="296"/>
    </row>
    <row r="25" spans="1:49" x14ac:dyDescent="0.3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361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87"/>
      <c r="AU25" s="87"/>
      <c r="AV25" s="296"/>
      <c r="AW25" s="296"/>
    </row>
    <row r="26" spans="1:49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361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87"/>
      <c r="AU26" s="87"/>
      <c r="AV26" s="296"/>
      <c r="AW26" s="296"/>
    </row>
    <row r="27" spans="1:49" x14ac:dyDescent="0.3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361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87"/>
      <c r="AU27" s="87"/>
      <c r="AV27" s="296"/>
      <c r="AW27" s="296"/>
    </row>
    <row r="28" spans="1:49" x14ac:dyDescent="0.3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361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87"/>
      <c r="AU28" s="87"/>
      <c r="AV28" s="296"/>
      <c r="AW28" s="296"/>
    </row>
    <row r="29" spans="1:49" x14ac:dyDescent="0.3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361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87"/>
      <c r="AU29" s="87"/>
      <c r="AV29" s="296"/>
      <c r="AW29" s="296"/>
    </row>
    <row r="30" spans="1:49" x14ac:dyDescent="0.3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361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87"/>
      <c r="AU30" s="87"/>
      <c r="AV30" s="296"/>
      <c r="AW30" s="296"/>
    </row>
    <row r="31" spans="1:49" x14ac:dyDescent="0.3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361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87"/>
      <c r="AU31" s="87"/>
      <c r="AV31" s="296"/>
      <c r="AW31" s="296"/>
    </row>
    <row r="32" spans="1:49" x14ac:dyDescent="0.3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361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87"/>
      <c r="AU32" s="87"/>
      <c r="AV32" s="296"/>
      <c r="AW32" s="296"/>
    </row>
    <row r="33" spans="1:49" x14ac:dyDescent="0.3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361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87"/>
      <c r="AU33" s="87"/>
      <c r="AV33" s="296"/>
      <c r="AW33" s="296"/>
    </row>
    <row r="34" spans="1:49" x14ac:dyDescent="0.3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361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87"/>
      <c r="AU34" s="87"/>
      <c r="AV34" s="296"/>
      <c r="AW34" s="296"/>
    </row>
    <row r="35" spans="1:49" x14ac:dyDescent="0.3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361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87"/>
      <c r="AU35" s="87"/>
      <c r="AV35" s="296"/>
      <c r="AW35" s="296"/>
    </row>
    <row r="36" spans="1:49" x14ac:dyDescent="0.3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361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87"/>
      <c r="AU36" s="87"/>
      <c r="AV36" s="296"/>
      <c r="AW36" s="296"/>
    </row>
    <row r="37" spans="1:49" x14ac:dyDescent="0.3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361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87"/>
      <c r="AU37" s="87"/>
      <c r="AV37" s="296"/>
      <c r="AW37" s="296"/>
    </row>
    <row r="38" spans="1:49" x14ac:dyDescent="0.3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361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87"/>
      <c r="AU38" s="87"/>
      <c r="AV38" s="296"/>
      <c r="AW38" s="296"/>
    </row>
    <row r="39" spans="1:49" x14ac:dyDescent="0.3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361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87"/>
      <c r="AU39" s="87"/>
      <c r="AV39" s="296"/>
      <c r="AW39" s="296"/>
    </row>
    <row r="40" spans="1:49" x14ac:dyDescent="0.3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361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87"/>
      <c r="AU40" s="87"/>
      <c r="AV40" s="296"/>
      <c r="AW40" s="296"/>
    </row>
    <row r="41" spans="1:49" x14ac:dyDescent="0.3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361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87"/>
      <c r="AU41" s="87"/>
      <c r="AV41" s="296"/>
      <c r="AW41" s="296"/>
    </row>
    <row r="42" spans="1:49" x14ac:dyDescent="0.3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361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87"/>
      <c r="AU42" s="87"/>
      <c r="AV42" s="296"/>
      <c r="AW42" s="296"/>
    </row>
    <row r="43" spans="1:49" x14ac:dyDescent="0.3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361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87"/>
      <c r="AU43" s="87"/>
      <c r="AV43" s="296"/>
      <c r="AW43" s="296"/>
    </row>
    <row r="44" spans="1:49" x14ac:dyDescent="0.3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361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87"/>
      <c r="AU44" s="87"/>
      <c r="AV44" s="296"/>
      <c r="AW44" s="296"/>
    </row>
    <row r="45" spans="1:49" x14ac:dyDescent="0.3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361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87"/>
      <c r="AU45" s="87"/>
      <c r="AV45" s="296"/>
      <c r="AW45" s="296"/>
    </row>
    <row r="46" spans="1:49" x14ac:dyDescent="0.3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361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87"/>
      <c r="AU46" s="87"/>
      <c r="AV46" s="296"/>
      <c r="AW46" s="296"/>
    </row>
    <row r="47" spans="1:49" x14ac:dyDescent="0.3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361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87"/>
      <c r="AU47" s="87"/>
      <c r="AV47" s="296"/>
      <c r="AW47" s="296"/>
    </row>
    <row r="48" spans="1:49" x14ac:dyDescent="0.3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361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87"/>
      <c r="AU48" s="87"/>
      <c r="AV48" s="296"/>
      <c r="AW48" s="296"/>
    </row>
    <row r="49" spans="1:49" x14ac:dyDescent="0.3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361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87"/>
      <c r="AU49" s="87"/>
      <c r="AV49" s="296"/>
      <c r="AW49" s="296"/>
    </row>
    <row r="50" spans="1:49" x14ac:dyDescent="0.3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361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87"/>
      <c r="AU50" s="87"/>
      <c r="AV50" s="296"/>
      <c r="AW50" s="296"/>
    </row>
    <row r="51" spans="1:49" x14ac:dyDescent="0.3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361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87"/>
      <c r="AU51" s="87"/>
      <c r="AV51" s="296"/>
      <c r="AW51" s="296"/>
    </row>
    <row r="52" spans="1:49" x14ac:dyDescent="0.3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361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87"/>
      <c r="AU52" s="87"/>
      <c r="AV52" s="296"/>
      <c r="AW52" s="296"/>
    </row>
    <row r="53" spans="1:49" x14ac:dyDescent="0.3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361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87"/>
      <c r="AU53" s="87"/>
      <c r="AV53" s="296"/>
      <c r="AW53" s="296"/>
    </row>
    <row r="54" spans="1:49" x14ac:dyDescent="0.3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361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87"/>
      <c r="AU54" s="87"/>
      <c r="AV54" s="296"/>
      <c r="AW54" s="296"/>
    </row>
    <row r="55" spans="1:49" x14ac:dyDescent="0.3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361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87"/>
      <c r="AU55" s="87"/>
      <c r="AV55" s="296"/>
      <c r="AW55" s="296"/>
    </row>
    <row r="56" spans="1:49" x14ac:dyDescent="0.3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361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87"/>
      <c r="AU56" s="87"/>
      <c r="AV56" s="296"/>
      <c r="AW56" s="296"/>
    </row>
    <row r="57" spans="1:49" x14ac:dyDescent="0.3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361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87"/>
      <c r="AU57" s="87"/>
      <c r="AV57" s="296"/>
      <c r="AW57" s="296"/>
    </row>
    <row r="58" spans="1:49" x14ac:dyDescent="0.3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361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87"/>
      <c r="AU58" s="87"/>
      <c r="AV58" s="296"/>
      <c r="AW58" s="296"/>
    </row>
    <row r="59" spans="1:49" x14ac:dyDescent="0.3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361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87"/>
      <c r="AU59" s="87"/>
      <c r="AV59" s="296"/>
      <c r="AW59" s="296"/>
    </row>
    <row r="60" spans="1:49" x14ac:dyDescent="0.3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361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87"/>
      <c r="AU60" s="87"/>
      <c r="AV60" s="296"/>
      <c r="AW60" s="296"/>
    </row>
    <row r="61" spans="1:49" x14ac:dyDescent="0.3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361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87"/>
      <c r="AU61" s="87"/>
      <c r="AV61" s="296"/>
      <c r="AW61" s="296"/>
    </row>
    <row r="62" spans="1:49" x14ac:dyDescent="0.3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361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87"/>
      <c r="AU62" s="87"/>
      <c r="AV62" s="296"/>
      <c r="AW62" s="296"/>
    </row>
    <row r="63" spans="1:49" x14ac:dyDescent="0.3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361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87"/>
      <c r="AU63" s="87"/>
      <c r="AV63" s="296"/>
      <c r="AW63" s="296"/>
    </row>
    <row r="64" spans="1:49" x14ac:dyDescent="0.3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361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87"/>
      <c r="AU64" s="87"/>
      <c r="AV64" s="296"/>
      <c r="AW64" s="296"/>
    </row>
    <row r="65" spans="1:49" x14ac:dyDescent="0.3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361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87"/>
      <c r="AU65" s="87"/>
      <c r="AV65" s="296"/>
      <c r="AW65" s="296"/>
    </row>
    <row r="66" spans="1:49" x14ac:dyDescent="0.3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361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87"/>
      <c r="AU66" s="87"/>
      <c r="AV66" s="296"/>
      <c r="AW66" s="296"/>
    </row>
    <row r="67" spans="1:49" x14ac:dyDescent="0.3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361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87"/>
      <c r="AU67" s="87"/>
      <c r="AV67" s="296"/>
      <c r="AW67" s="296"/>
    </row>
    <row r="68" spans="1:49" x14ac:dyDescent="0.3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361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87"/>
      <c r="AU68" s="87"/>
      <c r="AV68" s="296"/>
      <c r="AW68" s="296"/>
    </row>
    <row r="69" spans="1:49" x14ac:dyDescent="0.3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361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87"/>
      <c r="AU69" s="87"/>
      <c r="AV69" s="296"/>
      <c r="AW69" s="296"/>
    </row>
    <row r="70" spans="1:49" x14ac:dyDescent="0.3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361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87"/>
      <c r="AU70" s="87"/>
      <c r="AV70" s="296"/>
      <c r="AW70" s="296"/>
    </row>
    <row r="71" spans="1:49" x14ac:dyDescent="0.3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361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87"/>
      <c r="AU71" s="87"/>
      <c r="AV71" s="296"/>
      <c r="AW71" s="296"/>
    </row>
    <row r="72" spans="1:49" x14ac:dyDescent="0.3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361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87"/>
      <c r="AU72" s="87"/>
      <c r="AV72" s="296"/>
      <c r="AW72" s="296"/>
    </row>
    <row r="73" spans="1:49" x14ac:dyDescent="0.3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361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87"/>
      <c r="AU73" s="87"/>
      <c r="AV73" s="296"/>
      <c r="AW73" s="296"/>
    </row>
    <row r="74" spans="1:49" x14ac:dyDescent="0.3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361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87"/>
      <c r="AU74" s="87"/>
      <c r="AV74" s="296"/>
      <c r="AW74" s="296"/>
    </row>
    <row r="75" spans="1:49" x14ac:dyDescent="0.3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361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87"/>
      <c r="AU75" s="87"/>
      <c r="AV75" s="296"/>
      <c r="AW75" s="296"/>
    </row>
    <row r="76" spans="1:49" x14ac:dyDescent="0.3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361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87"/>
      <c r="AU76" s="87"/>
      <c r="AV76" s="296"/>
      <c r="AW76" s="296"/>
    </row>
    <row r="77" spans="1:49" x14ac:dyDescent="0.3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361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87"/>
      <c r="AU77" s="87"/>
      <c r="AV77" s="296"/>
      <c r="AW77" s="296"/>
    </row>
    <row r="78" spans="1:49" x14ac:dyDescent="0.3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361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87"/>
      <c r="AU78" s="87"/>
      <c r="AV78" s="296"/>
      <c r="AW78" s="296"/>
    </row>
    <row r="79" spans="1:49" x14ac:dyDescent="0.3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361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87"/>
      <c r="AU79" s="87"/>
      <c r="AV79" s="296"/>
      <c r="AW79" s="296"/>
    </row>
    <row r="80" spans="1:49" x14ac:dyDescent="0.3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361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87"/>
      <c r="AU80" s="87"/>
      <c r="AV80" s="296"/>
      <c r="AW80" s="296"/>
    </row>
    <row r="81" spans="1:49" x14ac:dyDescent="0.3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361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87"/>
      <c r="AU81" s="87"/>
      <c r="AV81" s="296"/>
      <c r="AW81" s="296"/>
    </row>
    <row r="82" spans="1:49" x14ac:dyDescent="0.3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361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87"/>
      <c r="AU82" s="87"/>
      <c r="AV82" s="296"/>
      <c r="AW82" s="296"/>
    </row>
    <row r="83" spans="1:49" x14ac:dyDescent="0.3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361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87"/>
      <c r="AU83" s="87"/>
      <c r="AV83" s="296"/>
      <c r="AW83" s="296"/>
    </row>
    <row r="84" spans="1:49" x14ac:dyDescent="0.3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361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87"/>
      <c r="AU84" s="87"/>
      <c r="AV84" s="296"/>
      <c r="AW84" s="296"/>
    </row>
    <row r="85" spans="1:49" x14ac:dyDescent="0.3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361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87"/>
      <c r="AU85" s="87"/>
      <c r="AV85" s="296"/>
      <c r="AW85" s="296"/>
    </row>
    <row r="86" spans="1:49" x14ac:dyDescent="0.3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361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87"/>
      <c r="AU86" s="87"/>
      <c r="AV86" s="296"/>
      <c r="AW86" s="296"/>
    </row>
    <row r="87" spans="1:49" x14ac:dyDescent="0.3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361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87"/>
      <c r="AU87" s="87"/>
      <c r="AV87" s="296"/>
      <c r="AW87" s="296"/>
    </row>
    <row r="88" spans="1:49" x14ac:dyDescent="0.3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361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87"/>
      <c r="AU88" s="87"/>
      <c r="AV88" s="296"/>
      <c r="AW88" s="296"/>
    </row>
    <row r="89" spans="1:49" x14ac:dyDescent="0.3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361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87"/>
      <c r="AU89" s="87"/>
      <c r="AV89" s="296"/>
      <c r="AW89" s="296"/>
    </row>
    <row r="90" spans="1:49" x14ac:dyDescent="0.3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361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87"/>
      <c r="AU90" s="87"/>
      <c r="AV90" s="296"/>
      <c r="AW90" s="296"/>
    </row>
    <row r="91" spans="1:49" x14ac:dyDescent="0.3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361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87"/>
      <c r="AU91" s="87"/>
      <c r="AV91" s="296"/>
      <c r="AW91" s="296"/>
    </row>
    <row r="92" spans="1:49" x14ac:dyDescent="0.3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361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87"/>
      <c r="AU92" s="87"/>
      <c r="AV92" s="296"/>
      <c r="AW92" s="296"/>
    </row>
    <row r="93" spans="1:49" x14ac:dyDescent="0.3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361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87"/>
      <c r="AU93" s="87"/>
      <c r="AV93" s="296"/>
      <c r="AW93" s="296"/>
    </row>
    <row r="94" spans="1:49" x14ac:dyDescent="0.3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361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87"/>
      <c r="AU94" s="87"/>
      <c r="AV94" s="296"/>
      <c r="AW94" s="296"/>
    </row>
    <row r="95" spans="1:49" x14ac:dyDescent="0.3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361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87"/>
      <c r="AU95" s="87"/>
      <c r="AV95" s="296"/>
      <c r="AW95" s="296"/>
    </row>
    <row r="96" spans="1:49" x14ac:dyDescent="0.3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361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87"/>
      <c r="AU96" s="87"/>
      <c r="AV96" s="296"/>
      <c r="AW96" s="296"/>
    </row>
    <row r="97" spans="1:49" x14ac:dyDescent="0.3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361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87"/>
      <c r="AU97" s="87"/>
      <c r="AV97" s="296"/>
      <c r="AW97" s="296"/>
    </row>
    <row r="98" spans="1:49" x14ac:dyDescent="0.3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361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87"/>
      <c r="AU98" s="87"/>
      <c r="AV98" s="296"/>
      <c r="AW98" s="296"/>
    </row>
    <row r="99" spans="1:49" x14ac:dyDescent="0.3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361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87"/>
      <c r="AU99" s="87"/>
      <c r="AV99" s="296"/>
      <c r="AW99" s="296"/>
    </row>
    <row r="100" spans="1:49" x14ac:dyDescent="0.3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361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87"/>
      <c r="AU100" s="87"/>
      <c r="AV100" s="296"/>
      <c r="AW100" s="296"/>
    </row>
    <row r="101" spans="1:49" x14ac:dyDescent="0.3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361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87"/>
      <c r="AU101" s="87"/>
      <c r="AV101" s="296"/>
      <c r="AW101" s="296"/>
    </row>
    <row r="102" spans="1:49" x14ac:dyDescent="0.3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361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87"/>
      <c r="AU102" s="87"/>
      <c r="AV102" s="296"/>
      <c r="AW102" s="296"/>
    </row>
    <row r="103" spans="1:49" x14ac:dyDescent="0.3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361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87"/>
      <c r="AU103" s="87"/>
      <c r="AV103" s="296"/>
      <c r="AW103" s="296"/>
    </row>
    <row r="104" spans="1:49" x14ac:dyDescent="0.3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361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87"/>
      <c r="AU104" s="87"/>
      <c r="AV104" s="296"/>
      <c r="AW104" s="296"/>
    </row>
    <row r="105" spans="1:49" x14ac:dyDescent="0.3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361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87"/>
      <c r="AU105" s="87"/>
      <c r="AV105" s="296"/>
      <c r="AW105" s="296"/>
    </row>
    <row r="106" spans="1:49" x14ac:dyDescent="0.3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361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296"/>
      <c r="AW106" s="296"/>
    </row>
    <row r="107" spans="1:49" x14ac:dyDescent="0.3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361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296"/>
      <c r="AW107" s="296"/>
    </row>
    <row r="108" spans="1:49" x14ac:dyDescent="0.3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361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296"/>
      <c r="AW108" s="296"/>
    </row>
    <row r="109" spans="1:49" x14ac:dyDescent="0.3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361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296"/>
      <c r="AW109" s="296"/>
    </row>
    <row r="110" spans="1:49" x14ac:dyDescent="0.3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361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296"/>
      <c r="AW110" s="296"/>
    </row>
    <row r="111" spans="1:49" x14ac:dyDescent="0.3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361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296"/>
      <c r="AW111" s="296"/>
    </row>
    <row r="112" spans="1:49" x14ac:dyDescent="0.3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361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296"/>
      <c r="AW112" s="296"/>
    </row>
    <row r="113" spans="1:49" x14ac:dyDescent="0.3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361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296"/>
      <c r="AW113" s="296"/>
    </row>
    <row r="114" spans="1:49" x14ac:dyDescent="0.3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361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296"/>
      <c r="AW114" s="296"/>
    </row>
    <row r="115" spans="1:49" x14ac:dyDescent="0.3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361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296"/>
      <c r="AW115" s="296"/>
    </row>
    <row r="116" spans="1:49" x14ac:dyDescent="0.3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361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296"/>
      <c r="AW116" s="296"/>
    </row>
    <row r="117" spans="1:49" x14ac:dyDescent="0.3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361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296"/>
      <c r="AW117" s="296"/>
    </row>
    <row r="118" spans="1:49" x14ac:dyDescent="0.3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361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296"/>
      <c r="AW118" s="296"/>
    </row>
    <row r="119" spans="1:49" x14ac:dyDescent="0.3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361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296"/>
      <c r="AW119" s="296"/>
    </row>
    <row r="120" spans="1:49" x14ac:dyDescent="0.3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361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296"/>
      <c r="AW120" s="296"/>
    </row>
    <row r="121" spans="1:49" x14ac:dyDescent="0.3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361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296"/>
      <c r="AW121" s="296"/>
    </row>
    <row r="122" spans="1:49" x14ac:dyDescent="0.3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361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296"/>
      <c r="AW122" s="296"/>
    </row>
    <row r="123" spans="1:49" x14ac:dyDescent="0.3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361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296"/>
      <c r="AW123" s="296"/>
    </row>
    <row r="124" spans="1:49" x14ac:dyDescent="0.3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361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296"/>
      <c r="AW124" s="296"/>
    </row>
    <row r="125" spans="1:49" x14ac:dyDescent="0.3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361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296"/>
      <c r="AW125" s="296"/>
    </row>
    <row r="126" spans="1:49" x14ac:dyDescent="0.3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361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296"/>
      <c r="AW126" s="296"/>
    </row>
    <row r="127" spans="1:49" x14ac:dyDescent="0.3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361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296"/>
      <c r="AW127" s="296"/>
    </row>
    <row r="128" spans="1:49" x14ac:dyDescent="0.3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361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296"/>
      <c r="AW128" s="296"/>
    </row>
    <row r="129" spans="1:49" x14ac:dyDescent="0.3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361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296"/>
      <c r="AW129" s="296"/>
    </row>
    <row r="130" spans="1:49" x14ac:dyDescent="0.3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361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296"/>
      <c r="AW130" s="296"/>
    </row>
    <row r="131" spans="1:49" x14ac:dyDescent="0.3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361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296"/>
      <c r="AW131" s="296"/>
    </row>
    <row r="132" spans="1:49" x14ac:dyDescent="0.3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361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296"/>
      <c r="AW132" s="296"/>
    </row>
    <row r="133" spans="1:49" x14ac:dyDescent="0.3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361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296"/>
      <c r="AW133" s="296"/>
    </row>
    <row r="134" spans="1:49" x14ac:dyDescent="0.3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361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296"/>
      <c r="AW134" s="296"/>
    </row>
    <row r="135" spans="1:49" x14ac:dyDescent="0.3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361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296"/>
      <c r="AW135" s="296"/>
    </row>
    <row r="136" spans="1:49" x14ac:dyDescent="0.3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361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296"/>
      <c r="AW136" s="296"/>
    </row>
    <row r="137" spans="1:49" x14ac:dyDescent="0.3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361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296"/>
      <c r="AW137" s="296"/>
    </row>
    <row r="138" spans="1:49" x14ac:dyDescent="0.3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361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296"/>
      <c r="AW138" s="296"/>
    </row>
    <row r="139" spans="1:49" x14ac:dyDescent="0.3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361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296"/>
      <c r="AW139" s="296"/>
    </row>
    <row r="140" spans="1:49" x14ac:dyDescent="0.3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361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296"/>
      <c r="AW140" s="296"/>
    </row>
    <row r="141" spans="1:49" x14ac:dyDescent="0.3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361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296"/>
      <c r="AW141" s="296"/>
    </row>
    <row r="142" spans="1:49" x14ac:dyDescent="0.3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361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296"/>
      <c r="AW142" s="296"/>
    </row>
    <row r="143" spans="1:49" x14ac:dyDescent="0.3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361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296"/>
      <c r="AW143" s="296"/>
    </row>
    <row r="144" spans="1:49" x14ac:dyDescent="0.3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361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296"/>
      <c r="AW144" s="296"/>
    </row>
    <row r="145" spans="1:49" x14ac:dyDescent="0.3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361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296"/>
      <c r="AW145" s="296"/>
    </row>
    <row r="146" spans="1:49" x14ac:dyDescent="0.3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361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296"/>
      <c r="AW146" s="296"/>
    </row>
    <row r="147" spans="1:49" x14ac:dyDescent="0.3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361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296"/>
      <c r="AW147" s="296"/>
    </row>
    <row r="148" spans="1:49" x14ac:dyDescent="0.3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361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296"/>
      <c r="AW148" s="296"/>
    </row>
    <row r="149" spans="1:49" x14ac:dyDescent="0.3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361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296"/>
      <c r="AW149" s="296"/>
    </row>
    <row r="150" spans="1:49" x14ac:dyDescent="0.3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361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296"/>
      <c r="AW150" s="296"/>
    </row>
    <row r="151" spans="1:49" x14ac:dyDescent="0.3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361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296"/>
      <c r="AW151" s="296"/>
    </row>
    <row r="152" spans="1:49" x14ac:dyDescent="0.3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361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296"/>
      <c r="AW152" s="296"/>
    </row>
    <row r="153" spans="1:49" x14ac:dyDescent="0.3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361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296"/>
      <c r="AW153" s="296"/>
    </row>
    <row r="154" spans="1:49" x14ac:dyDescent="0.3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361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296"/>
      <c r="AW154" s="296"/>
    </row>
    <row r="155" spans="1:49" x14ac:dyDescent="0.3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361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296"/>
      <c r="AW155" s="296"/>
    </row>
    <row r="156" spans="1:49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369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1:49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369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1:49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369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1:49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369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1:49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369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1:47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369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1:47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369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1:47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369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1:47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369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1:47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369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</sheetData>
  <mergeCells count="21">
    <mergeCell ref="Y6:Z6"/>
    <mergeCell ref="E2:R2"/>
    <mergeCell ref="A5:A6"/>
    <mergeCell ref="B5:B6"/>
    <mergeCell ref="C5:AN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A6:AB6"/>
    <mergeCell ref="AC6:AD6"/>
    <mergeCell ref="AE6:AF6"/>
    <mergeCell ref="AG6:AH6"/>
    <mergeCell ref="AI6:AJ6"/>
  </mergeCells>
  <conditionalFormatting sqref="C19 G19 I19 K19 M19 O19 Q19 S19 U19 W19 Y19 AA19 AC19 AE19 AG19 E19">
    <cfRule type="cellIs" dxfId="59" priority="52" operator="lessThan">
      <formula>0</formula>
    </cfRule>
    <cfRule type="cellIs" dxfId="58" priority="53" operator="greaterThan">
      <formula>0</formula>
    </cfRule>
    <cfRule type="cellIs" dxfId="57" priority="54" operator="equal">
      <formula>0</formula>
    </cfRule>
  </conditionalFormatting>
  <conditionalFormatting sqref="AM16">
    <cfRule type="cellIs" dxfId="56" priority="49" operator="lessThan">
      <formula>0</formula>
    </cfRule>
    <cfRule type="cellIs" dxfId="55" priority="50" operator="greaterThan">
      <formula>0</formula>
    </cfRule>
    <cfRule type="cellIs" dxfId="54" priority="51" operator="equal">
      <formula>0</formula>
    </cfRule>
  </conditionalFormatting>
  <conditionalFormatting sqref="F19">
    <cfRule type="cellIs" dxfId="53" priority="46" operator="lessThan">
      <formula>0</formula>
    </cfRule>
    <cfRule type="cellIs" dxfId="52" priority="47" operator="greaterThan">
      <formula>0</formula>
    </cfRule>
    <cfRule type="cellIs" dxfId="51" priority="48" operator="equal">
      <formula>0</formula>
    </cfRule>
  </conditionalFormatting>
  <conditionalFormatting sqref="H19">
    <cfRule type="cellIs" dxfId="50" priority="43" operator="lessThan">
      <formula>0</formula>
    </cfRule>
    <cfRule type="cellIs" dxfId="49" priority="44" operator="greaterThan">
      <formula>0</formula>
    </cfRule>
    <cfRule type="cellIs" dxfId="48" priority="45" operator="equal">
      <formula>0</formula>
    </cfRule>
  </conditionalFormatting>
  <conditionalFormatting sqref="J19">
    <cfRule type="cellIs" dxfId="47" priority="40" operator="lessThan">
      <formula>0</formula>
    </cfRule>
    <cfRule type="cellIs" dxfId="46" priority="41" operator="greaterThan">
      <formula>0</formula>
    </cfRule>
    <cfRule type="cellIs" dxfId="45" priority="42" operator="equal">
      <formula>0</formula>
    </cfRule>
  </conditionalFormatting>
  <conditionalFormatting sqref="L19">
    <cfRule type="cellIs" dxfId="44" priority="37" operator="lessThan">
      <formula>0</formula>
    </cfRule>
    <cfRule type="cellIs" dxfId="43" priority="38" operator="greaterThan">
      <formula>0</formula>
    </cfRule>
    <cfRule type="cellIs" dxfId="42" priority="39" operator="equal">
      <formula>0</formula>
    </cfRule>
  </conditionalFormatting>
  <conditionalFormatting sqref="N19">
    <cfRule type="cellIs" dxfId="41" priority="34" operator="lessThan">
      <formula>0</formula>
    </cfRule>
    <cfRule type="cellIs" dxfId="40" priority="35" operator="greaterThan">
      <formula>0</formula>
    </cfRule>
    <cfRule type="cellIs" dxfId="39" priority="36" operator="equal">
      <formula>0</formula>
    </cfRule>
  </conditionalFormatting>
  <conditionalFormatting sqref="P19">
    <cfRule type="cellIs" dxfId="38" priority="31" operator="lessThan">
      <formula>0</formula>
    </cfRule>
    <cfRule type="cellIs" dxfId="37" priority="32" operator="greaterThan">
      <formula>0</formula>
    </cfRule>
    <cfRule type="cellIs" dxfId="36" priority="33" operator="equal">
      <formula>0</formula>
    </cfRule>
  </conditionalFormatting>
  <conditionalFormatting sqref="R19">
    <cfRule type="cellIs" dxfId="35" priority="28" operator="lessThan">
      <formula>0</formula>
    </cfRule>
    <cfRule type="cellIs" dxfId="34" priority="29" operator="greaterThan">
      <formula>0</formula>
    </cfRule>
    <cfRule type="cellIs" dxfId="33" priority="30" operator="equal">
      <formula>0</formula>
    </cfRule>
  </conditionalFormatting>
  <conditionalFormatting sqref="T19">
    <cfRule type="cellIs" dxfId="32" priority="25" operator="lessThan">
      <formula>0</formula>
    </cfRule>
    <cfRule type="cellIs" dxfId="31" priority="26" operator="greaterThan">
      <formula>0</formula>
    </cfRule>
    <cfRule type="cellIs" dxfId="30" priority="27" operator="equal">
      <formula>0</formula>
    </cfRule>
  </conditionalFormatting>
  <conditionalFormatting sqref="V19">
    <cfRule type="cellIs" dxfId="29" priority="22" operator="lessThan">
      <formula>0</formula>
    </cfRule>
    <cfRule type="cellIs" dxfId="28" priority="23" operator="greaterThan">
      <formula>0</formula>
    </cfRule>
    <cfRule type="cellIs" dxfId="27" priority="24" operator="equal">
      <formula>0</formula>
    </cfRule>
  </conditionalFormatting>
  <conditionalFormatting sqref="X19">
    <cfRule type="cellIs" dxfId="26" priority="19" operator="lessThan">
      <formula>0</formula>
    </cfRule>
    <cfRule type="cellIs" dxfId="25" priority="20" operator="greaterThan">
      <formula>0</formula>
    </cfRule>
    <cfRule type="cellIs" dxfId="24" priority="21" operator="equal">
      <formula>0</formula>
    </cfRule>
  </conditionalFormatting>
  <conditionalFormatting sqref="Z19">
    <cfRule type="cellIs" dxfId="23" priority="16" operator="lessThan">
      <formula>0</formula>
    </cfRule>
    <cfRule type="cellIs" dxfId="22" priority="17" operator="greaterThan">
      <formula>0</formula>
    </cfRule>
    <cfRule type="cellIs" dxfId="21" priority="18" operator="equal">
      <formula>0</formula>
    </cfRule>
  </conditionalFormatting>
  <conditionalFormatting sqref="AB19">
    <cfRule type="cellIs" dxfId="20" priority="13" operator="lessThan">
      <formula>0</formula>
    </cfRule>
    <cfRule type="cellIs" dxfId="19" priority="14" operator="greaterThan">
      <formula>0</formula>
    </cfRule>
    <cfRule type="cellIs" dxfId="18" priority="15" operator="equal">
      <formula>0</formula>
    </cfRule>
  </conditionalFormatting>
  <conditionalFormatting sqref="AD19">
    <cfRule type="cellIs" dxfId="17" priority="10" operator="lessThan">
      <formula>0</formula>
    </cfRule>
    <cfRule type="cellIs" dxfId="16" priority="11" operator="greaterThan">
      <formula>0</formula>
    </cfRule>
    <cfRule type="cellIs" dxfId="15" priority="12" operator="equal">
      <formula>0</formula>
    </cfRule>
  </conditionalFormatting>
  <conditionalFormatting sqref="AF19">
    <cfRule type="cellIs" dxfId="14" priority="7" operator="lessThan">
      <formula>0</formula>
    </cfRule>
    <cfRule type="cellIs" dxfId="13" priority="8" operator="greaterThan">
      <formula>0</formula>
    </cfRule>
    <cfRule type="cellIs" dxfId="12" priority="9" operator="equal">
      <formula>0</formula>
    </cfRule>
  </conditionalFormatting>
  <conditionalFormatting sqref="AH19:AJ19">
    <cfRule type="cellIs" dxfId="11" priority="4" operator="lessThan">
      <formula>0</formula>
    </cfRule>
    <cfRule type="cellIs" dxfId="10" priority="5" operator="greaterThan">
      <formula>0</formula>
    </cfRule>
    <cfRule type="cellIs" dxfId="9" priority="6" operator="equal">
      <formula>0</formula>
    </cfRule>
  </conditionalFormatting>
  <conditionalFormatting sqref="D19">
    <cfRule type="cellIs" dxfId="8" priority="1" operator="lessThan">
      <formula>0</formula>
    </cfRule>
    <cfRule type="cellIs" dxfId="7" priority="2" operator="greaterThan">
      <formula>0</formula>
    </cfRule>
    <cfRule type="cellIs" dxfId="6" priority="3" operator="equal">
      <formula>0</formula>
    </cfRule>
  </conditionalFormatting>
  <pageMargins left="0.39370078740157483" right="0.19685039370078741" top="0.74803149606299213" bottom="0.74803149606299213" header="0.31496062992125984" footer="0.31496062992125984"/>
  <pageSetup paperSize="9" scale="78" fitToWidth="2" fitToHeight="0" orientation="landscape" r:id="rId1"/>
  <colBreaks count="1" manualBreakCount="1">
    <brk id="18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4"/>
  <sheetViews>
    <sheetView view="pageBreakPreview" zoomScale="90" zoomScaleSheetLayoutView="90" workbookViewId="0">
      <selection activeCell="A3" sqref="A3"/>
    </sheetView>
  </sheetViews>
  <sheetFormatPr defaultColWidth="9.109375" defaultRowHeight="13.8" x14ac:dyDescent="0.3"/>
  <cols>
    <col min="1" max="1" width="5" style="5" customWidth="1"/>
    <col min="2" max="2" width="30.6640625" style="5" customWidth="1"/>
    <col min="3" max="7" width="13.5546875" style="5" customWidth="1"/>
    <col min="8" max="16384" width="9.109375" style="5"/>
  </cols>
  <sheetData>
    <row r="1" spans="1:8" x14ac:dyDescent="0.3">
      <c r="B1" s="5" t="s">
        <v>95</v>
      </c>
      <c r="H1" s="60">
        <v>0.30199999999999999</v>
      </c>
    </row>
    <row r="2" spans="1:8" ht="31.2" customHeight="1" x14ac:dyDescent="0.3">
      <c r="A2" s="461" t="s">
        <v>598</v>
      </c>
      <c r="B2" s="461"/>
    </row>
    <row r="3" spans="1:8" ht="19.8" customHeight="1" x14ac:dyDescent="0.3">
      <c r="A3" s="7"/>
      <c r="B3" s="372"/>
      <c r="G3" s="5" t="s">
        <v>153</v>
      </c>
    </row>
    <row r="4" spans="1:8" s="53" customFormat="1" ht="36" customHeight="1" x14ac:dyDescent="0.3">
      <c r="A4" s="9"/>
      <c r="B4" s="6"/>
      <c r="C4" s="412"/>
      <c r="D4" s="456" t="s">
        <v>554</v>
      </c>
      <c r="E4" s="457"/>
      <c r="F4" s="457"/>
      <c r="G4" s="458"/>
    </row>
    <row r="5" spans="1:8" s="53" customFormat="1" ht="25.5" customHeight="1" x14ac:dyDescent="0.3">
      <c r="A5" s="425"/>
      <c r="B5" s="6"/>
      <c r="C5" s="430" t="str">
        <f>СВОД!B4</f>
        <v>2024 (ПФХД на 01.01.2024)</v>
      </c>
      <c r="D5" s="430" t="str">
        <f>СВОД!C4</f>
        <v>2024 ож.факт</v>
      </c>
      <c r="E5" s="430">
        <f>СВОД!D4</f>
        <v>2025</v>
      </c>
      <c r="F5" s="430">
        <f>СВОД!E4</f>
        <v>2026</v>
      </c>
      <c r="G5" s="430">
        <f>СВОД!F4</f>
        <v>2027</v>
      </c>
    </row>
    <row r="6" spans="1:8" s="61" customFormat="1" ht="12" x14ac:dyDescent="0.3">
      <c r="A6" s="440">
        <v>211</v>
      </c>
      <c r="B6" s="78" t="s">
        <v>100</v>
      </c>
      <c r="C6" s="19">
        <f>C7*C8</f>
        <v>0</v>
      </c>
      <c r="D6" s="19">
        <f>D7*D8</f>
        <v>0</v>
      </c>
      <c r="E6" s="19">
        <f>E7*E8</f>
        <v>0</v>
      </c>
      <c r="F6" s="19">
        <f>F7*F8</f>
        <v>0</v>
      </c>
      <c r="G6" s="19">
        <f>G7*G8</f>
        <v>0</v>
      </c>
    </row>
    <row r="7" spans="1:8" s="80" customFormat="1" ht="12" x14ac:dyDescent="0.3">
      <c r="A7" s="440"/>
      <c r="B7" s="79" t="s">
        <v>540</v>
      </c>
      <c r="C7" s="68"/>
      <c r="D7" s="68"/>
      <c r="E7" s="68"/>
      <c r="F7" s="68"/>
      <c r="G7" s="68"/>
    </row>
    <row r="8" spans="1:8" s="58" customFormat="1" ht="12" x14ac:dyDescent="0.3">
      <c r="A8" s="440"/>
      <c r="B8" s="54" t="s">
        <v>541</v>
      </c>
      <c r="C8" s="55"/>
      <c r="D8" s="55"/>
      <c r="E8" s="55"/>
      <c r="F8" s="55"/>
      <c r="G8" s="55"/>
    </row>
    <row r="9" spans="1:8" s="61" customFormat="1" ht="12" x14ac:dyDescent="0.3">
      <c r="A9" s="440"/>
      <c r="B9" s="78" t="s">
        <v>513</v>
      </c>
      <c r="C9" s="19">
        <f>C10*C11</f>
        <v>0</v>
      </c>
      <c r="D9" s="19">
        <f>D10*D11</f>
        <v>0</v>
      </c>
      <c r="E9" s="19">
        <f>E10*E11</f>
        <v>0</v>
      </c>
      <c r="F9" s="19">
        <f>F10*F11</f>
        <v>0</v>
      </c>
      <c r="G9" s="19">
        <f>G10*G11</f>
        <v>0</v>
      </c>
    </row>
    <row r="10" spans="1:8" s="80" customFormat="1" ht="12" x14ac:dyDescent="0.3">
      <c r="A10" s="440"/>
      <c r="B10" s="79" t="s">
        <v>55</v>
      </c>
      <c r="C10" s="68"/>
      <c r="D10" s="68"/>
      <c r="E10" s="68"/>
      <c r="F10" s="68"/>
      <c r="G10" s="68"/>
    </row>
    <row r="11" spans="1:8" s="58" customFormat="1" ht="12" x14ac:dyDescent="0.3">
      <c r="A11" s="440"/>
      <c r="B11" s="54" t="s">
        <v>464</v>
      </c>
      <c r="C11" s="55"/>
      <c r="D11" s="55"/>
      <c r="E11" s="55"/>
      <c r="F11" s="55"/>
      <c r="G11" s="55"/>
    </row>
    <row r="12" spans="1:8" s="61" customFormat="1" ht="12" x14ac:dyDescent="0.3">
      <c r="A12" s="440"/>
      <c r="B12" s="78" t="s">
        <v>57</v>
      </c>
      <c r="C12" s="19">
        <f>C13*C14+C17*C18+C15*C16</f>
        <v>0</v>
      </c>
      <c r="D12" s="19">
        <f>D13*D14+D17*D18+D15*D16</f>
        <v>0</v>
      </c>
      <c r="E12" s="19">
        <f t="shared" ref="E12:G12" si="0">E13*E14+E17*E18+E15*E16</f>
        <v>0</v>
      </c>
      <c r="F12" s="19">
        <f t="shared" si="0"/>
        <v>0</v>
      </c>
      <c r="G12" s="19">
        <f t="shared" si="0"/>
        <v>0</v>
      </c>
    </row>
    <row r="13" spans="1:8" s="80" customFormat="1" ht="24" x14ac:dyDescent="0.3">
      <c r="A13" s="440"/>
      <c r="B13" s="79" t="s">
        <v>555</v>
      </c>
      <c r="C13" s="68"/>
      <c r="D13" s="68"/>
      <c r="E13" s="68"/>
      <c r="F13" s="68"/>
      <c r="G13" s="68"/>
    </row>
    <row r="14" spans="1:8" s="58" customFormat="1" ht="12" x14ac:dyDescent="0.3">
      <c r="A14" s="440"/>
      <c r="B14" s="54" t="s">
        <v>464</v>
      </c>
      <c r="C14" s="55"/>
      <c r="D14" s="55"/>
      <c r="E14" s="55"/>
      <c r="F14" s="55"/>
      <c r="G14" s="55"/>
    </row>
    <row r="15" spans="1:8" s="80" customFormat="1" ht="12" x14ac:dyDescent="0.3">
      <c r="A15" s="440"/>
      <c r="B15" s="79" t="s">
        <v>514</v>
      </c>
      <c r="C15" s="68"/>
      <c r="D15" s="68"/>
      <c r="E15" s="68"/>
      <c r="F15" s="68"/>
      <c r="G15" s="68"/>
    </row>
    <row r="16" spans="1:8" s="58" customFormat="1" ht="12" x14ac:dyDescent="0.3">
      <c r="A16" s="440"/>
      <c r="B16" s="54" t="s">
        <v>464</v>
      </c>
      <c r="C16" s="55"/>
      <c r="D16" s="55"/>
      <c r="E16" s="55"/>
      <c r="F16" s="55"/>
      <c r="G16" s="55"/>
    </row>
    <row r="17" spans="1:7" s="80" customFormat="1" ht="12" x14ac:dyDescent="0.3">
      <c r="A17" s="440"/>
      <c r="B17" s="79" t="s">
        <v>515</v>
      </c>
      <c r="C17" s="68"/>
      <c r="D17" s="68"/>
      <c r="E17" s="68"/>
      <c r="F17" s="68"/>
      <c r="G17" s="68"/>
    </row>
    <row r="18" spans="1:7" s="58" customFormat="1" ht="12" x14ac:dyDescent="0.3">
      <c r="A18" s="440"/>
      <c r="B18" s="54" t="s">
        <v>464</v>
      </c>
      <c r="C18" s="55"/>
      <c r="D18" s="55"/>
      <c r="E18" s="55"/>
      <c r="F18" s="55"/>
      <c r="G18" s="55"/>
    </row>
    <row r="19" spans="1:7" s="71" customFormat="1" ht="17.25" customHeight="1" x14ac:dyDescent="0.3">
      <c r="A19" s="440"/>
      <c r="B19" s="62" t="s">
        <v>94</v>
      </c>
      <c r="C19" s="70">
        <f>(C6+C9+C12)*12</f>
        <v>0</v>
      </c>
      <c r="D19" s="70">
        <f>(D6+D9+D12)*12</f>
        <v>0</v>
      </c>
      <c r="E19" s="70">
        <f>(E6+E9+E12)*12</f>
        <v>0</v>
      </c>
      <c r="F19" s="70">
        <f>(F6+F9+F12)*12</f>
        <v>0</v>
      </c>
      <c r="G19" s="70">
        <f>(G6+G9+G12)*12</f>
        <v>0</v>
      </c>
    </row>
    <row r="20" spans="1:7" s="317" customFormat="1" ht="17.25" hidden="1" customHeight="1" x14ac:dyDescent="0.3">
      <c r="A20" s="314"/>
      <c r="B20" s="315" t="s">
        <v>516</v>
      </c>
      <c r="C20" s="316">
        <v>20658.75</v>
      </c>
      <c r="D20" s="316">
        <v>20658.75</v>
      </c>
      <c r="E20" s="316"/>
      <c r="F20" s="316"/>
      <c r="G20" s="316"/>
    </row>
    <row r="21" spans="1:7" s="71" customFormat="1" ht="23.25" customHeight="1" x14ac:dyDescent="0.3">
      <c r="A21" s="72">
        <v>213</v>
      </c>
      <c r="B21" s="62" t="s">
        <v>150</v>
      </c>
      <c r="C21" s="70">
        <f t="shared" ref="C21" si="1">ROUND(C19*$H1,2)</f>
        <v>0</v>
      </c>
      <c r="D21" s="70">
        <f t="shared" ref="D21:E21" si="2">ROUND(D19*$H1,2)</f>
        <v>0</v>
      </c>
      <c r="E21" s="70">
        <f t="shared" si="2"/>
        <v>0</v>
      </c>
      <c r="F21" s="70">
        <f>ROUND(F19*$H1,2)</f>
        <v>0</v>
      </c>
      <c r="G21" s="70">
        <f>ROUND(G19*$H1,2)</f>
        <v>0</v>
      </c>
    </row>
    <row r="22" spans="1:7" s="322" customFormat="1" ht="22.8" customHeight="1" x14ac:dyDescent="0.3">
      <c r="A22" s="320"/>
      <c r="B22" s="265" t="s">
        <v>556</v>
      </c>
      <c r="C22" s="321">
        <f>C23+C24</f>
        <v>0</v>
      </c>
      <c r="D22" s="321">
        <f>D23+D24</f>
        <v>0</v>
      </c>
      <c r="E22" s="321">
        <f t="shared" ref="E22:G22" si="3">E23+E24</f>
        <v>0</v>
      </c>
      <c r="F22" s="321">
        <f t="shared" si="3"/>
        <v>0</v>
      </c>
      <c r="G22" s="321">
        <f t="shared" si="3"/>
        <v>0</v>
      </c>
    </row>
    <row r="23" spans="1:7" s="409" customFormat="1" ht="22.8" customHeight="1" x14ac:dyDescent="0.3">
      <c r="A23" s="407"/>
      <c r="B23" s="91" t="s">
        <v>589</v>
      </c>
      <c r="C23" s="408"/>
      <c r="D23" s="408"/>
      <c r="E23" s="408"/>
      <c r="F23" s="408"/>
      <c r="G23" s="408"/>
    </row>
    <row r="24" spans="1:7" s="409" customFormat="1" ht="22.8" customHeight="1" x14ac:dyDescent="0.3">
      <c r="A24" s="407"/>
      <c r="B24" s="91" t="s">
        <v>590</v>
      </c>
      <c r="C24" s="408"/>
      <c r="D24" s="408"/>
      <c r="E24" s="408"/>
      <c r="F24" s="408"/>
      <c r="G24" s="408"/>
    </row>
    <row r="25" spans="1:7" s="71" customFormat="1" ht="28.8" customHeight="1" x14ac:dyDescent="0.3">
      <c r="A25" s="72"/>
      <c r="B25" s="62" t="s">
        <v>527</v>
      </c>
      <c r="C25" s="70">
        <f>C19+C21+C22</f>
        <v>0</v>
      </c>
      <c r="D25" s="70">
        <f>D19+D21+D22</f>
        <v>0</v>
      </c>
      <c r="E25" s="70">
        <f t="shared" ref="E25:G25" si="4">E19+E21+E22</f>
        <v>0</v>
      </c>
      <c r="F25" s="70">
        <f t="shared" si="4"/>
        <v>0</v>
      </c>
      <c r="G25" s="70">
        <f t="shared" si="4"/>
        <v>0</v>
      </c>
    </row>
    <row r="26" spans="1:7" s="63" customFormat="1" ht="16.2" customHeight="1" x14ac:dyDescent="0.3">
      <c r="A26" s="462">
        <v>212</v>
      </c>
      <c r="B26" s="67" t="s">
        <v>529</v>
      </c>
      <c r="C26" s="166">
        <f>C27*C28*C29</f>
        <v>0</v>
      </c>
      <c r="D26" s="166">
        <f>D27*D28*D29</f>
        <v>0</v>
      </c>
      <c r="E26" s="166">
        <f t="shared" ref="E26:G26" si="5">E27*E28*E29</f>
        <v>0</v>
      </c>
      <c r="F26" s="166">
        <f t="shared" si="5"/>
        <v>0</v>
      </c>
      <c r="G26" s="166">
        <f t="shared" si="5"/>
        <v>0</v>
      </c>
    </row>
    <row r="27" spans="1:7" s="66" customFormat="1" ht="15.75" customHeight="1" x14ac:dyDescent="0.3">
      <c r="A27" s="463"/>
      <c r="B27" s="59" t="s">
        <v>530</v>
      </c>
      <c r="C27" s="65"/>
      <c r="D27" s="65"/>
      <c r="E27" s="65"/>
      <c r="F27" s="65"/>
      <c r="G27" s="65"/>
    </row>
    <row r="28" spans="1:7" s="58" customFormat="1" ht="12" x14ac:dyDescent="0.3">
      <c r="A28" s="463"/>
      <c r="B28" s="54" t="s">
        <v>140</v>
      </c>
      <c r="C28" s="68"/>
      <c r="D28" s="68"/>
      <c r="E28" s="68"/>
      <c r="F28" s="68"/>
      <c r="G28" s="68"/>
    </row>
    <row r="29" spans="1:7" s="58" customFormat="1" ht="12" x14ac:dyDescent="0.3">
      <c r="A29" s="463"/>
      <c r="B29" s="54" t="s">
        <v>65</v>
      </c>
      <c r="C29" s="68"/>
      <c r="D29" s="68"/>
      <c r="E29" s="68"/>
      <c r="F29" s="68"/>
      <c r="G29" s="68"/>
    </row>
    <row r="30" spans="1:7" s="63" customFormat="1" ht="18.600000000000001" customHeight="1" x14ac:dyDescent="0.3">
      <c r="A30" s="463"/>
      <c r="B30" s="67" t="s">
        <v>528</v>
      </c>
      <c r="C30" s="166">
        <f t="shared" ref="C30" si="6">C31*C32</f>
        <v>0</v>
      </c>
      <c r="D30" s="166">
        <f t="shared" ref="D30:G30" si="7">D31*D32</f>
        <v>0</v>
      </c>
      <c r="E30" s="166">
        <f t="shared" si="7"/>
        <v>0</v>
      </c>
      <c r="F30" s="166">
        <f t="shared" si="7"/>
        <v>0</v>
      </c>
      <c r="G30" s="166">
        <f t="shared" si="7"/>
        <v>0</v>
      </c>
    </row>
    <row r="31" spans="1:7" s="66" customFormat="1" ht="15.75" customHeight="1" x14ac:dyDescent="0.3">
      <c r="A31" s="463"/>
      <c r="B31" s="59" t="s">
        <v>531</v>
      </c>
      <c r="C31" s="65"/>
      <c r="D31" s="65"/>
      <c r="E31" s="65"/>
      <c r="F31" s="65"/>
      <c r="G31" s="65"/>
    </row>
    <row r="32" spans="1:7" s="58" customFormat="1" ht="12" x14ac:dyDescent="0.3">
      <c r="A32" s="463"/>
      <c r="B32" s="54" t="s">
        <v>140</v>
      </c>
      <c r="C32" s="68"/>
      <c r="D32" s="68"/>
      <c r="E32" s="68"/>
      <c r="F32" s="68"/>
      <c r="G32" s="68"/>
    </row>
    <row r="33" spans="1:37" s="63" customFormat="1" ht="48.75" customHeight="1" x14ac:dyDescent="0.3">
      <c r="A33" s="463"/>
      <c r="B33" s="67" t="s">
        <v>143</v>
      </c>
      <c r="C33" s="166">
        <f>C34*C35*C36</f>
        <v>0</v>
      </c>
      <c r="D33" s="166">
        <f>D34*D35*D36</f>
        <v>0</v>
      </c>
      <c r="E33" s="166">
        <f>E34*E35*E36</f>
        <v>0</v>
      </c>
      <c r="F33" s="166">
        <f>F34*F35*F36</f>
        <v>0</v>
      </c>
      <c r="G33" s="166">
        <f>G34*G35*G36</f>
        <v>0</v>
      </c>
    </row>
    <row r="34" spans="1:37" s="66" customFormat="1" ht="15.75" customHeight="1" x14ac:dyDescent="0.3">
      <c r="A34" s="463"/>
      <c r="B34" s="59" t="s">
        <v>141</v>
      </c>
      <c r="C34" s="65">
        <v>50</v>
      </c>
      <c r="D34" s="65">
        <v>50</v>
      </c>
      <c r="E34" s="65">
        <v>50</v>
      </c>
      <c r="F34" s="65">
        <v>50</v>
      </c>
      <c r="G34" s="65">
        <v>50</v>
      </c>
    </row>
    <row r="35" spans="1:37" s="58" customFormat="1" ht="12" x14ac:dyDescent="0.3">
      <c r="A35" s="463"/>
      <c r="B35" s="54" t="s">
        <v>140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</row>
    <row r="36" spans="1:37" s="58" customFormat="1" ht="12" x14ac:dyDescent="0.3">
      <c r="A36" s="463"/>
      <c r="B36" s="54" t="s">
        <v>142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</row>
    <row r="37" spans="1:37" s="71" customFormat="1" ht="17.25" customHeight="1" x14ac:dyDescent="0.3">
      <c r="A37" s="464"/>
      <c r="B37" s="62" t="s">
        <v>139</v>
      </c>
      <c r="C37" s="70">
        <f t="shared" ref="C37" si="8">C26+C30+C33</f>
        <v>0</v>
      </c>
      <c r="D37" s="70">
        <f t="shared" ref="D37:E37" si="9">D26+D30+D33</f>
        <v>0</v>
      </c>
      <c r="E37" s="70">
        <f t="shared" si="9"/>
        <v>0</v>
      </c>
      <c r="F37" s="70">
        <f>F26+F30+F33</f>
        <v>0</v>
      </c>
      <c r="G37" s="70">
        <f t="shared" ref="G37" si="10">G26+G30+G33</f>
        <v>0</v>
      </c>
    </row>
    <row r="38" spans="1:37" ht="8.4" customHeight="1" x14ac:dyDescent="0.3"/>
    <row r="39" spans="1:37" s="84" customFormat="1" ht="19.8" customHeight="1" x14ac:dyDescent="0.3">
      <c r="A39" s="82"/>
      <c r="B39" s="82" t="s">
        <v>154</v>
      </c>
      <c r="C39" s="81">
        <f>(C1925+C37)/1000</f>
        <v>0</v>
      </c>
      <c r="D39" s="81">
        <f>(D1925+D37)/1000</f>
        <v>0</v>
      </c>
      <c r="E39" s="81">
        <f t="shared" ref="E39:G39" si="11">(E1925+E37)/1000</f>
        <v>0</v>
      </c>
      <c r="F39" s="81">
        <f t="shared" si="11"/>
        <v>0</v>
      </c>
      <c r="G39" s="81">
        <f t="shared" si="11"/>
        <v>0</v>
      </c>
    </row>
    <row r="41" spans="1:37" x14ac:dyDescent="0.3">
      <c r="A41" s="7"/>
      <c r="B41" s="7"/>
    </row>
    <row r="42" spans="1:37" s="184" customFormat="1" ht="22.8" customHeight="1" x14ac:dyDescent="0.3">
      <c r="A42" s="459" t="s">
        <v>553</v>
      </c>
      <c r="B42" s="459"/>
      <c r="C42" s="53"/>
      <c r="D42" s="53"/>
      <c r="E42" s="53"/>
      <c r="F42" s="359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87"/>
      <c r="AI42" s="87"/>
      <c r="AJ42" s="296"/>
      <c r="AK42" s="296"/>
    </row>
    <row r="43" spans="1:37" s="184" customFormat="1" ht="14.4" x14ac:dyDescent="0.3">
      <c r="A43" s="390"/>
      <c r="B43" s="53"/>
      <c r="C43" s="53"/>
      <c r="D43" s="53"/>
      <c r="E43" s="53"/>
      <c r="F43" s="359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87"/>
      <c r="AI43" s="87"/>
      <c r="AJ43" s="296"/>
      <c r="AK43" s="296"/>
    </row>
    <row r="44" spans="1:37" s="184" customFormat="1" ht="23.4" customHeight="1" x14ac:dyDescent="0.3">
      <c r="A44" s="460" t="s">
        <v>130</v>
      </c>
      <c r="B44" s="460"/>
      <c r="C44" s="53"/>
      <c r="D44" s="53"/>
      <c r="E44" s="53"/>
      <c r="F44" s="359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87"/>
      <c r="AI44" s="87"/>
      <c r="AJ44" s="296"/>
      <c r="AK44" s="296"/>
    </row>
  </sheetData>
  <mergeCells count="6">
    <mergeCell ref="D4:G4"/>
    <mergeCell ref="A42:B42"/>
    <mergeCell ref="A44:B44"/>
    <mergeCell ref="A2:B2"/>
    <mergeCell ref="A6:A19"/>
    <mergeCell ref="A26:A37"/>
  </mergeCells>
  <pageMargins left="0.39370078740157483" right="0.19685039370078741" top="0.39370078740157483" bottom="0.19685039370078741" header="0.31496062992125984" footer="0.31496062992125984"/>
  <pageSetup paperSize="9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view="pageBreakPreview" zoomScaleSheetLayoutView="100" workbookViewId="0">
      <selection activeCell="A5" sqref="A5:XFD5"/>
    </sheetView>
  </sheetViews>
  <sheetFormatPr defaultColWidth="9.109375" defaultRowHeight="13.8" x14ac:dyDescent="0.3"/>
  <cols>
    <col min="1" max="1" width="5" style="5" customWidth="1"/>
    <col min="2" max="2" width="28" style="5" customWidth="1"/>
    <col min="3" max="7" width="15.21875" style="5" customWidth="1"/>
    <col min="8" max="16384" width="9.109375" style="5"/>
  </cols>
  <sheetData>
    <row r="1" spans="1:7" ht="15" customHeight="1" x14ac:dyDescent="0.3"/>
    <row r="2" spans="1:7" ht="17.25" customHeight="1" x14ac:dyDescent="0.3">
      <c r="A2" s="319" t="str">
        <f>'ст.211,212,213'!A2:B2</f>
        <v>Средства местного бюджета на 2024-2027 годы</v>
      </c>
      <c r="B2" s="319"/>
    </row>
    <row r="3" spans="1:7" ht="16.5" customHeight="1" x14ac:dyDescent="0.3">
      <c r="A3" s="7"/>
      <c r="B3" s="391"/>
      <c r="C3" s="77"/>
      <c r="D3" s="77"/>
      <c r="E3" s="77"/>
      <c r="F3" s="77"/>
      <c r="G3" s="5" t="s">
        <v>153</v>
      </c>
    </row>
    <row r="4" spans="1:7" s="53" customFormat="1" ht="36" customHeight="1" x14ac:dyDescent="0.3">
      <c r="A4" s="175"/>
      <c r="B4" s="6"/>
      <c r="C4" s="412"/>
      <c r="D4" s="456" t="s">
        <v>554</v>
      </c>
      <c r="E4" s="457"/>
      <c r="F4" s="457"/>
      <c r="G4" s="458"/>
    </row>
    <row r="5" spans="1:7" s="53" customFormat="1" ht="26.4" customHeight="1" x14ac:dyDescent="0.3">
      <c r="A5" s="426"/>
      <c r="B5" s="6"/>
      <c r="C5" s="430" t="str">
        <f>СВОД!B4</f>
        <v>2024 (ПФХД на 01.01.2024)</v>
      </c>
      <c r="D5" s="430" t="str">
        <f>СВОД!C4</f>
        <v>2024 ож.факт</v>
      </c>
      <c r="E5" s="430">
        <f>СВОД!D4</f>
        <v>2025</v>
      </c>
      <c r="F5" s="430">
        <f>СВОД!E4</f>
        <v>2026</v>
      </c>
      <c r="G5" s="430">
        <f>СВОД!F4</f>
        <v>2027</v>
      </c>
    </row>
    <row r="6" spans="1:7" s="61" customFormat="1" ht="12" x14ac:dyDescent="0.3">
      <c r="A6" s="434">
        <v>221</v>
      </c>
      <c r="B6" s="78" t="s">
        <v>58</v>
      </c>
      <c r="C6" s="19">
        <f>C8*(1+C9)*12</f>
        <v>0</v>
      </c>
      <c r="D6" s="19">
        <f>D8*(1+D9)*12</f>
        <v>0</v>
      </c>
      <c r="E6" s="19">
        <f>E8*(1+E9)*12</f>
        <v>0</v>
      </c>
      <c r="F6" s="19">
        <f>F8*(1+F9)*12</f>
        <v>0</v>
      </c>
      <c r="G6" s="19">
        <f>G8*(1+G9)*12</f>
        <v>0</v>
      </c>
    </row>
    <row r="7" spans="1:7" s="80" customFormat="1" ht="12" x14ac:dyDescent="0.3">
      <c r="A7" s="435"/>
      <c r="B7" s="79" t="s">
        <v>152</v>
      </c>
      <c r="C7" s="68"/>
      <c r="D7" s="68"/>
      <c r="E7" s="68"/>
      <c r="F7" s="68"/>
      <c r="G7" s="68"/>
    </row>
    <row r="8" spans="1:7" s="58" customFormat="1" ht="12" x14ac:dyDescent="0.3">
      <c r="A8" s="435"/>
      <c r="B8" s="54" t="s">
        <v>144</v>
      </c>
      <c r="C8" s="55"/>
      <c r="D8" s="55"/>
      <c r="E8" s="55"/>
      <c r="F8" s="55"/>
      <c r="G8" s="55"/>
    </row>
    <row r="9" spans="1:7" s="58" customFormat="1" ht="12" hidden="1" x14ac:dyDescent="0.3">
      <c r="A9" s="435"/>
      <c r="B9" s="54" t="s">
        <v>145</v>
      </c>
      <c r="C9" s="76"/>
      <c r="D9" s="76"/>
      <c r="E9" s="76"/>
      <c r="F9" s="76"/>
      <c r="G9" s="76"/>
    </row>
    <row r="10" spans="1:7" s="61" customFormat="1" ht="12" x14ac:dyDescent="0.3">
      <c r="A10" s="435"/>
      <c r="B10" s="78" t="s">
        <v>151</v>
      </c>
      <c r="C10" s="19">
        <f>C12*(1+C13)*12</f>
        <v>0</v>
      </c>
      <c r="D10" s="19">
        <f>D12*(1+D13)*12</f>
        <v>0</v>
      </c>
      <c r="E10" s="19">
        <f>E12*(1+E13)*12</f>
        <v>0</v>
      </c>
      <c r="F10" s="19">
        <f>F12*(1+F13)*12</f>
        <v>0</v>
      </c>
      <c r="G10" s="19">
        <f>G12*(1+G13)*12</f>
        <v>0</v>
      </c>
    </row>
    <row r="11" spans="1:7" s="80" customFormat="1" ht="12" x14ac:dyDescent="0.3">
      <c r="A11" s="435"/>
      <c r="B11" s="79" t="s">
        <v>146</v>
      </c>
      <c r="C11" s="68"/>
      <c r="D11" s="68"/>
      <c r="E11" s="68"/>
      <c r="F11" s="68"/>
      <c r="G11" s="68"/>
    </row>
    <row r="12" spans="1:7" s="58" customFormat="1" ht="12" x14ac:dyDescent="0.3">
      <c r="A12" s="435"/>
      <c r="B12" s="54" t="s">
        <v>144</v>
      </c>
      <c r="C12" s="55"/>
      <c r="D12" s="55"/>
      <c r="E12" s="55"/>
      <c r="F12" s="55"/>
      <c r="G12" s="55"/>
    </row>
    <row r="13" spans="1:7" s="58" customFormat="1" ht="12" hidden="1" x14ac:dyDescent="0.3">
      <c r="A13" s="435"/>
      <c r="B13" s="54" t="s">
        <v>145</v>
      </c>
      <c r="C13" s="76"/>
      <c r="D13" s="76"/>
      <c r="E13" s="76"/>
      <c r="F13" s="76"/>
      <c r="G13" s="76"/>
    </row>
    <row r="14" spans="1:7" s="61" customFormat="1" ht="12" x14ac:dyDescent="0.3">
      <c r="A14" s="435"/>
      <c r="B14" s="78" t="s">
        <v>1</v>
      </c>
      <c r="C14" s="19">
        <f>C15*C16</f>
        <v>0</v>
      </c>
      <c r="D14" s="19">
        <f>D15*D16</f>
        <v>0</v>
      </c>
      <c r="E14" s="19">
        <f>E15*E16</f>
        <v>0</v>
      </c>
      <c r="F14" s="19">
        <f>F15*F16</f>
        <v>0</v>
      </c>
      <c r="G14" s="19">
        <f>G15*G16</f>
        <v>0</v>
      </c>
    </row>
    <row r="15" spans="1:7" s="80" customFormat="1" ht="12" x14ac:dyDescent="0.3">
      <c r="A15" s="435"/>
      <c r="B15" s="79" t="s">
        <v>147</v>
      </c>
      <c r="C15" s="68"/>
      <c r="D15" s="68"/>
      <c r="E15" s="68"/>
      <c r="F15" s="68"/>
      <c r="G15" s="68"/>
    </row>
    <row r="16" spans="1:7" s="58" customFormat="1" ht="12" x14ac:dyDescent="0.3">
      <c r="A16" s="435"/>
      <c r="B16" s="54" t="s">
        <v>148</v>
      </c>
      <c r="C16" s="55"/>
      <c r="D16" s="55"/>
      <c r="E16" s="55"/>
      <c r="F16" s="55"/>
      <c r="G16" s="55"/>
    </row>
    <row r="17" spans="1:7" s="61" customFormat="1" ht="12" x14ac:dyDescent="0.3">
      <c r="A17" s="435"/>
      <c r="B17" s="78" t="s">
        <v>558</v>
      </c>
      <c r="C17" s="19">
        <f>C18*C19</f>
        <v>0</v>
      </c>
      <c r="D17" s="19">
        <f>D18*D19</f>
        <v>0</v>
      </c>
      <c r="E17" s="19">
        <f>E18*E19</f>
        <v>0</v>
      </c>
      <c r="F17" s="19">
        <f>F18*F19</f>
        <v>0</v>
      </c>
      <c r="G17" s="19">
        <f>G18*G19</f>
        <v>0</v>
      </c>
    </row>
    <row r="18" spans="1:7" s="80" customFormat="1" ht="12" x14ac:dyDescent="0.3">
      <c r="A18" s="435"/>
      <c r="B18" s="79" t="s">
        <v>67</v>
      </c>
      <c r="C18" s="68"/>
      <c r="D18" s="68"/>
      <c r="E18" s="68"/>
      <c r="F18" s="68"/>
      <c r="G18" s="68"/>
    </row>
    <row r="19" spans="1:7" s="58" customFormat="1" ht="12" x14ac:dyDescent="0.3">
      <c r="A19" s="435"/>
      <c r="B19" s="54" t="s">
        <v>519</v>
      </c>
      <c r="C19" s="55"/>
      <c r="D19" s="55"/>
      <c r="E19" s="55"/>
      <c r="F19" s="55"/>
      <c r="G19" s="55"/>
    </row>
    <row r="20" spans="1:7" s="61" customFormat="1" ht="24" x14ac:dyDescent="0.3">
      <c r="A20" s="435"/>
      <c r="B20" s="18" t="s">
        <v>557</v>
      </c>
      <c r="C20" s="19">
        <f>C21*C22</f>
        <v>0</v>
      </c>
      <c r="D20" s="19">
        <f>D21*D22</f>
        <v>0</v>
      </c>
      <c r="E20" s="19">
        <f>E21*E22</f>
        <v>0</v>
      </c>
      <c r="F20" s="19">
        <f>F21*F22</f>
        <v>0</v>
      </c>
      <c r="G20" s="19">
        <f>G21*G22</f>
        <v>0</v>
      </c>
    </row>
    <row r="21" spans="1:7" s="80" customFormat="1" ht="12" x14ac:dyDescent="0.3">
      <c r="A21" s="435"/>
      <c r="B21" s="79" t="s">
        <v>67</v>
      </c>
      <c r="C21" s="68"/>
      <c r="D21" s="68"/>
      <c r="E21" s="68"/>
      <c r="F21" s="68"/>
      <c r="G21" s="68"/>
    </row>
    <row r="22" spans="1:7" s="58" customFormat="1" ht="12" x14ac:dyDescent="0.3">
      <c r="A22" s="435"/>
      <c r="B22" s="54" t="s">
        <v>519</v>
      </c>
      <c r="C22" s="55"/>
      <c r="D22" s="55"/>
      <c r="E22" s="55"/>
      <c r="F22" s="55"/>
      <c r="G22" s="55"/>
    </row>
    <row r="23" spans="1:7" s="403" customFormat="1" ht="11.4" customHeight="1" x14ac:dyDescent="0.3">
      <c r="A23" s="435"/>
      <c r="B23" s="401"/>
      <c r="C23" s="402"/>
      <c r="D23" s="402"/>
      <c r="E23" s="402"/>
      <c r="F23" s="402"/>
      <c r="G23" s="402"/>
    </row>
    <row r="24" spans="1:7" s="403" customFormat="1" ht="11.4" customHeight="1" x14ac:dyDescent="0.3">
      <c r="A24" s="435"/>
      <c r="B24" s="401"/>
      <c r="C24" s="402"/>
      <c r="D24" s="402"/>
      <c r="E24" s="402"/>
      <c r="F24" s="402"/>
      <c r="G24" s="402"/>
    </row>
    <row r="25" spans="1:7" s="403" customFormat="1" ht="11.4" customHeight="1" x14ac:dyDescent="0.3">
      <c r="A25" s="435"/>
      <c r="B25" s="401"/>
      <c r="C25" s="402"/>
      <c r="D25" s="402"/>
      <c r="E25" s="402"/>
      <c r="F25" s="402"/>
      <c r="G25" s="402"/>
    </row>
    <row r="26" spans="1:7" s="403" customFormat="1" ht="11.4" customHeight="1" x14ac:dyDescent="0.3">
      <c r="A26" s="435"/>
      <c r="B26" s="401"/>
      <c r="C26" s="402"/>
      <c r="D26" s="402"/>
      <c r="E26" s="402"/>
      <c r="F26" s="402"/>
      <c r="G26" s="402"/>
    </row>
    <row r="27" spans="1:7" s="403" customFormat="1" ht="11.4" customHeight="1" x14ac:dyDescent="0.3">
      <c r="A27" s="435"/>
      <c r="B27" s="401"/>
      <c r="C27" s="402"/>
      <c r="D27" s="402"/>
      <c r="E27" s="402"/>
      <c r="F27" s="402"/>
      <c r="G27" s="402"/>
    </row>
    <row r="28" spans="1:7" s="403" customFormat="1" ht="11.4" customHeight="1" x14ac:dyDescent="0.3">
      <c r="A28" s="435"/>
      <c r="B28" s="401"/>
      <c r="C28" s="402"/>
      <c r="D28" s="402"/>
      <c r="E28" s="402"/>
      <c r="F28" s="402"/>
      <c r="G28" s="402"/>
    </row>
    <row r="29" spans="1:7" s="403" customFormat="1" ht="11.4" customHeight="1" x14ac:dyDescent="0.3">
      <c r="A29" s="435"/>
      <c r="B29" s="401"/>
      <c r="C29" s="402"/>
      <c r="D29" s="402"/>
      <c r="E29" s="402"/>
      <c r="F29" s="402"/>
      <c r="G29" s="402"/>
    </row>
    <row r="30" spans="1:7" s="403" customFormat="1" ht="11.4" customHeight="1" x14ac:dyDescent="0.3">
      <c r="A30" s="435"/>
      <c r="B30" s="401"/>
      <c r="C30" s="402"/>
      <c r="D30" s="402"/>
      <c r="E30" s="402"/>
      <c r="F30" s="402"/>
      <c r="G30" s="402"/>
    </row>
    <row r="31" spans="1:7" s="61" customFormat="1" ht="15" customHeight="1" x14ac:dyDescent="0.3">
      <c r="A31" s="436"/>
      <c r="B31" s="62" t="s">
        <v>149</v>
      </c>
      <c r="C31" s="17">
        <f>C6+C10+C14+C17+C20+C23+C24+C25+C26+C27+C28+C29+C30</f>
        <v>0</v>
      </c>
      <c r="D31" s="17">
        <f>D6+D10+D14+D17+D20+D23+D24+D25+D26+D27+D28+D29+D30</f>
        <v>0</v>
      </c>
      <c r="E31" s="17">
        <f t="shared" ref="E31:G31" si="0">E6+E10+E14+E17+E20+E23+E24+E25+E26+E27+E28+E29+E30</f>
        <v>0</v>
      </c>
      <c r="F31" s="17">
        <f t="shared" si="0"/>
        <v>0</v>
      </c>
      <c r="G31" s="17">
        <f t="shared" si="0"/>
        <v>0</v>
      </c>
    </row>
    <row r="33" spans="1:37" s="74" customFormat="1" x14ac:dyDescent="0.3">
      <c r="A33" s="73"/>
      <c r="B33" s="73" t="s">
        <v>154</v>
      </c>
      <c r="C33" s="75">
        <f>C31/1000</f>
        <v>0</v>
      </c>
      <c r="D33" s="75">
        <f>D31/1000</f>
        <v>0</v>
      </c>
      <c r="E33" s="75">
        <f>E31/1000</f>
        <v>0</v>
      </c>
      <c r="F33" s="75">
        <f>F31/1000</f>
        <v>0</v>
      </c>
      <c r="G33" s="75">
        <f>G31/1000</f>
        <v>0</v>
      </c>
    </row>
    <row r="35" spans="1:37" s="61" customFormat="1" ht="12" x14ac:dyDescent="0.3">
      <c r="C35" s="164"/>
      <c r="D35" s="164"/>
      <c r="E35" s="164"/>
      <c r="F35" s="164"/>
      <c r="G35" s="164"/>
    </row>
    <row r="36" spans="1:37" s="389" customFormat="1" ht="23.4" customHeight="1" x14ac:dyDescent="0.3">
      <c r="A36" s="460" t="s">
        <v>553</v>
      </c>
      <c r="B36" s="460"/>
      <c r="C36" s="386"/>
      <c r="D36" s="386"/>
      <c r="E36" s="386"/>
      <c r="F36" s="387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  <c r="AC36" s="386"/>
      <c r="AD36" s="386"/>
      <c r="AE36" s="386"/>
      <c r="AF36" s="386"/>
      <c r="AG36" s="386"/>
      <c r="AH36" s="386"/>
      <c r="AI36" s="386"/>
      <c r="AJ36" s="388"/>
      <c r="AK36" s="388"/>
    </row>
    <row r="37" spans="1:37" s="389" customFormat="1" x14ac:dyDescent="0.3">
      <c r="A37" s="385"/>
      <c r="B37" s="386"/>
      <c r="C37" s="386"/>
      <c r="D37" s="386"/>
      <c r="E37" s="386"/>
      <c r="F37" s="387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  <c r="AC37" s="386"/>
      <c r="AD37" s="386"/>
      <c r="AE37" s="386"/>
      <c r="AF37" s="386"/>
      <c r="AG37" s="386"/>
      <c r="AH37" s="386"/>
      <c r="AI37" s="386"/>
      <c r="AJ37" s="388"/>
      <c r="AK37" s="388"/>
    </row>
    <row r="38" spans="1:37" s="389" customFormat="1" ht="27" customHeight="1" x14ac:dyDescent="0.3">
      <c r="A38" s="460" t="s">
        <v>130</v>
      </c>
      <c r="B38" s="460"/>
      <c r="C38" s="386"/>
      <c r="D38" s="386"/>
      <c r="E38" s="386"/>
      <c r="F38" s="387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8"/>
      <c r="AK38" s="388"/>
    </row>
  </sheetData>
  <mergeCells count="4">
    <mergeCell ref="A36:B36"/>
    <mergeCell ref="A38:B38"/>
    <mergeCell ref="A6:A31"/>
    <mergeCell ref="D4:G4"/>
  </mergeCells>
  <pageMargins left="0.39370078740157483" right="0.39370078740157483" top="0.39370078740157483" bottom="0.39370078740157483" header="0.31496062992125984" footer="0.31496062992125984"/>
  <pageSetup paperSize="9" scale="84" fitToWidth="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5"/>
  <sheetViews>
    <sheetView view="pageBreakPreview" zoomScale="90" zoomScaleSheetLayoutView="9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5" sqref="A5:XFD5"/>
    </sheetView>
  </sheetViews>
  <sheetFormatPr defaultColWidth="9.109375" defaultRowHeight="13.8" x14ac:dyDescent="0.25"/>
  <cols>
    <col min="1" max="1" width="5" style="87" customWidth="1"/>
    <col min="2" max="2" width="28.33203125" style="88" customWidth="1"/>
    <col min="3" max="7" width="15.33203125" style="88" customWidth="1"/>
    <col min="8" max="16384" width="9.109375" style="88"/>
  </cols>
  <sheetData>
    <row r="1" spans="1:7" x14ac:dyDescent="0.25">
      <c r="B1" s="89" t="s">
        <v>95</v>
      </c>
    </row>
    <row r="2" spans="1:7" ht="17.25" customHeight="1" x14ac:dyDescent="0.25">
      <c r="A2" s="319" t="str">
        <f>'ст.211,212,213'!A2:B2</f>
        <v>Средства местного бюджета на 2024-2027 годы</v>
      </c>
      <c r="B2" s="319"/>
    </row>
    <row r="3" spans="1:7" ht="17.25" customHeight="1" x14ac:dyDescent="0.25">
      <c r="A3" s="90"/>
      <c r="B3" s="374"/>
      <c r="C3" s="77"/>
      <c r="D3" s="77"/>
      <c r="E3" s="77"/>
      <c r="F3" s="77"/>
      <c r="G3" s="87" t="s">
        <v>153</v>
      </c>
    </row>
    <row r="4" spans="1:7" s="53" customFormat="1" ht="36" customHeight="1" x14ac:dyDescent="0.3">
      <c r="A4" s="175"/>
      <c r="B4" s="6"/>
      <c r="C4" s="412"/>
      <c r="D4" s="456" t="s">
        <v>554</v>
      </c>
      <c r="E4" s="457"/>
      <c r="F4" s="457"/>
      <c r="G4" s="458"/>
    </row>
    <row r="5" spans="1:7" s="53" customFormat="1" ht="36" customHeight="1" x14ac:dyDescent="0.3">
      <c r="A5" s="425"/>
      <c r="B5" s="6"/>
      <c r="C5" s="430" t="str">
        <f>СВОД!B4</f>
        <v>2024 (ПФХД на 01.01.2024)</v>
      </c>
      <c r="D5" s="430" t="str">
        <f>СВОД!C4</f>
        <v>2024 ож.факт</v>
      </c>
      <c r="E5" s="430">
        <f>СВОД!D4</f>
        <v>2025</v>
      </c>
      <c r="F5" s="430">
        <f>СВОД!E4</f>
        <v>2026</v>
      </c>
      <c r="G5" s="430">
        <f>СВОД!F4</f>
        <v>2027</v>
      </c>
    </row>
    <row r="6" spans="1:7" s="100" customFormat="1" ht="24" x14ac:dyDescent="0.3">
      <c r="A6" s="465">
        <v>222</v>
      </c>
      <c r="B6" s="18" t="s">
        <v>160</v>
      </c>
      <c r="C6" s="101">
        <f>C10*C11</f>
        <v>0</v>
      </c>
      <c r="D6" s="101">
        <f>D10*D11</f>
        <v>0</v>
      </c>
      <c r="E6" s="101">
        <f>E10*E11</f>
        <v>0</v>
      </c>
      <c r="F6" s="101">
        <f>F10*F11</f>
        <v>0</v>
      </c>
      <c r="G6" s="101">
        <f>G10*G11</f>
        <v>0</v>
      </c>
    </row>
    <row r="7" spans="1:7" s="92" customFormat="1" ht="12" x14ac:dyDescent="0.3">
      <c r="A7" s="465"/>
      <c r="B7" s="85" t="s">
        <v>156</v>
      </c>
      <c r="C7" s="85"/>
      <c r="D7" s="85"/>
      <c r="E7" s="85"/>
      <c r="F7" s="85"/>
      <c r="G7" s="85"/>
    </row>
    <row r="8" spans="1:7" s="92" customFormat="1" ht="12" x14ac:dyDescent="0.3">
      <c r="A8" s="465"/>
      <c r="B8" s="85" t="s">
        <v>157</v>
      </c>
      <c r="C8" s="85"/>
      <c r="D8" s="85"/>
      <c r="E8" s="85"/>
      <c r="F8" s="85"/>
      <c r="G8" s="85"/>
    </row>
    <row r="9" spans="1:7" s="92" customFormat="1" ht="12" x14ac:dyDescent="0.3">
      <c r="A9" s="465"/>
      <c r="B9" s="85" t="s">
        <v>77</v>
      </c>
      <c r="C9" s="85"/>
      <c r="D9" s="85"/>
      <c r="E9" s="85"/>
      <c r="F9" s="85"/>
      <c r="G9" s="85"/>
    </row>
    <row r="10" spans="1:7" s="94" customFormat="1" ht="12" x14ac:dyDescent="0.3">
      <c r="A10" s="465"/>
      <c r="B10" s="54" t="s">
        <v>155</v>
      </c>
      <c r="C10" s="54">
        <f>C8*C9</f>
        <v>0</v>
      </c>
      <c r="D10" s="54">
        <f>D8*D9</f>
        <v>0</v>
      </c>
      <c r="E10" s="54">
        <f t="shared" ref="E10:G10" si="0">E8*E9</f>
        <v>0</v>
      </c>
      <c r="F10" s="54">
        <f t="shared" si="0"/>
        <v>0</v>
      </c>
      <c r="G10" s="54">
        <f t="shared" si="0"/>
        <v>0</v>
      </c>
    </row>
    <row r="11" spans="1:7" s="94" customFormat="1" ht="12" x14ac:dyDescent="0.3">
      <c r="A11" s="465"/>
      <c r="B11" s="54" t="s">
        <v>158</v>
      </c>
      <c r="C11" s="93"/>
      <c r="D11" s="93"/>
      <c r="E11" s="93"/>
      <c r="F11" s="93"/>
      <c r="G11" s="93"/>
    </row>
    <row r="12" spans="1:7" s="102" customFormat="1" ht="12" x14ac:dyDescent="0.3">
      <c r="A12" s="465"/>
      <c r="B12" s="101" t="s">
        <v>161</v>
      </c>
      <c r="C12" s="101">
        <f>C17*C18</f>
        <v>0</v>
      </c>
      <c r="D12" s="101">
        <f>D17*D18</f>
        <v>0</v>
      </c>
      <c r="E12" s="101">
        <f>E17*E18</f>
        <v>0</v>
      </c>
      <c r="F12" s="101">
        <f>F17*F18</f>
        <v>0</v>
      </c>
      <c r="G12" s="101">
        <f>G17*G18</f>
        <v>0</v>
      </c>
    </row>
    <row r="13" spans="1:7" s="92" customFormat="1" ht="12" x14ac:dyDescent="0.3">
      <c r="A13" s="465"/>
      <c r="B13" s="85" t="s">
        <v>162</v>
      </c>
      <c r="C13" s="86"/>
      <c r="D13" s="86"/>
      <c r="E13" s="86"/>
      <c r="F13" s="86"/>
      <c r="G13" s="86"/>
    </row>
    <row r="14" spans="1:7" s="92" customFormat="1" ht="12" x14ac:dyDescent="0.3">
      <c r="A14" s="465"/>
      <c r="B14" s="85" t="s">
        <v>163</v>
      </c>
      <c r="C14" s="86"/>
      <c r="D14" s="86"/>
      <c r="E14" s="86"/>
      <c r="F14" s="86"/>
      <c r="G14" s="86"/>
    </row>
    <row r="15" spans="1:7" s="92" customFormat="1" ht="12" x14ac:dyDescent="0.3">
      <c r="A15" s="465"/>
      <c r="B15" s="85" t="s">
        <v>157</v>
      </c>
      <c r="C15" s="85"/>
      <c r="D15" s="85"/>
      <c r="E15" s="85"/>
      <c r="F15" s="85"/>
      <c r="G15" s="85"/>
    </row>
    <row r="16" spans="1:7" s="92" customFormat="1" ht="12" x14ac:dyDescent="0.3">
      <c r="A16" s="465"/>
      <c r="B16" s="85" t="s">
        <v>77</v>
      </c>
      <c r="C16" s="85"/>
      <c r="D16" s="85"/>
      <c r="E16" s="85"/>
      <c r="F16" s="85"/>
      <c r="G16" s="85"/>
    </row>
    <row r="17" spans="1:7" s="94" customFormat="1" ht="12" x14ac:dyDescent="0.3">
      <c r="A17" s="465"/>
      <c r="B17" s="54" t="s">
        <v>155</v>
      </c>
      <c r="C17" s="54">
        <f>C15*C16</f>
        <v>0</v>
      </c>
      <c r="D17" s="54">
        <f>D15*D16</f>
        <v>0</v>
      </c>
      <c r="E17" s="54">
        <f t="shared" ref="E17" si="1">E15*E16</f>
        <v>0</v>
      </c>
      <c r="F17" s="54">
        <f t="shared" ref="F17" si="2">F15*F16</f>
        <v>0</v>
      </c>
      <c r="G17" s="54">
        <f t="shared" ref="G17" si="3">G15*G16</f>
        <v>0</v>
      </c>
    </row>
    <row r="18" spans="1:7" s="94" customFormat="1" ht="12" x14ac:dyDescent="0.3">
      <c r="A18" s="465"/>
      <c r="B18" s="54" t="s">
        <v>158</v>
      </c>
      <c r="C18" s="99"/>
      <c r="D18" s="99"/>
      <c r="E18" s="99"/>
      <c r="F18" s="99"/>
      <c r="G18" s="99"/>
    </row>
    <row r="19" spans="1:7" s="403" customFormat="1" ht="11.4" customHeight="1" x14ac:dyDescent="0.3">
      <c r="A19" s="465"/>
      <c r="B19" s="401"/>
      <c r="C19" s="402"/>
      <c r="D19" s="402"/>
      <c r="E19" s="402"/>
      <c r="F19" s="402"/>
      <c r="G19" s="402"/>
    </row>
    <row r="20" spans="1:7" s="403" customFormat="1" ht="11.4" customHeight="1" x14ac:dyDescent="0.3">
      <c r="A20" s="465"/>
      <c r="B20" s="401"/>
      <c r="C20" s="402"/>
      <c r="D20" s="402"/>
      <c r="E20" s="402"/>
      <c r="F20" s="402"/>
      <c r="G20" s="402"/>
    </row>
    <row r="21" spans="1:7" s="403" customFormat="1" ht="11.4" customHeight="1" x14ac:dyDescent="0.3">
      <c r="A21" s="465"/>
      <c r="B21" s="401"/>
      <c r="C21" s="402"/>
      <c r="D21" s="402"/>
      <c r="E21" s="402"/>
      <c r="F21" s="402"/>
      <c r="G21" s="402"/>
    </row>
    <row r="22" spans="1:7" s="403" customFormat="1" ht="11.4" customHeight="1" x14ac:dyDescent="0.3">
      <c r="A22" s="465"/>
      <c r="B22" s="401"/>
      <c r="C22" s="402"/>
      <c r="D22" s="402"/>
      <c r="E22" s="402"/>
      <c r="F22" s="402"/>
      <c r="G22" s="402"/>
    </row>
    <row r="23" spans="1:7" s="403" customFormat="1" ht="11.4" customHeight="1" x14ac:dyDescent="0.3">
      <c r="A23" s="465"/>
      <c r="B23" s="401"/>
      <c r="C23" s="402"/>
      <c r="D23" s="402"/>
      <c r="E23" s="402"/>
      <c r="F23" s="402"/>
      <c r="G23" s="402"/>
    </row>
    <row r="24" spans="1:7" s="403" customFormat="1" ht="11.4" customHeight="1" x14ac:dyDescent="0.3">
      <c r="A24" s="465"/>
      <c r="B24" s="401"/>
      <c r="C24" s="402"/>
      <c r="D24" s="402"/>
      <c r="E24" s="402"/>
      <c r="F24" s="402"/>
      <c r="G24" s="402"/>
    </row>
    <row r="25" spans="1:7" s="403" customFormat="1" ht="11.4" customHeight="1" x14ac:dyDescent="0.3">
      <c r="A25" s="465"/>
      <c r="B25" s="401"/>
      <c r="C25" s="402"/>
      <c r="D25" s="402"/>
      <c r="E25" s="402"/>
      <c r="F25" s="402"/>
      <c r="G25" s="402"/>
    </row>
    <row r="26" spans="1:7" s="403" customFormat="1" ht="11.4" customHeight="1" x14ac:dyDescent="0.3">
      <c r="A26" s="465"/>
      <c r="B26" s="401"/>
      <c r="C26" s="402"/>
      <c r="D26" s="402"/>
      <c r="E26" s="402"/>
      <c r="F26" s="402"/>
      <c r="G26" s="402"/>
    </row>
    <row r="27" spans="1:7" s="148" customFormat="1" ht="20.25" customHeight="1" x14ac:dyDescent="0.3">
      <c r="A27" s="465"/>
      <c r="B27" s="16" t="s">
        <v>159</v>
      </c>
      <c r="C27" s="327">
        <f>C6+C12+C19+C20+C21+C22+C23+C24+C25+C26</f>
        <v>0</v>
      </c>
      <c r="D27" s="327">
        <f>D6+D12+D19+D20+D21+D22+D23+D24+D25+D26</f>
        <v>0</v>
      </c>
      <c r="E27" s="327">
        <f t="shared" ref="E27:G27" si="4">E6+E12+E19+E20+E21+E22+E23+E24+E25+E26</f>
        <v>0</v>
      </c>
      <c r="F27" s="327">
        <f t="shared" si="4"/>
        <v>0</v>
      </c>
      <c r="G27" s="327">
        <f t="shared" si="4"/>
        <v>0</v>
      </c>
    </row>
    <row r="28" spans="1:7" s="95" customFormat="1" x14ac:dyDescent="0.3">
      <c r="A28" s="87"/>
    </row>
    <row r="29" spans="1:7" s="98" customFormat="1" ht="27.6" x14ac:dyDescent="0.3">
      <c r="A29" s="97"/>
      <c r="B29" s="97" t="s">
        <v>154</v>
      </c>
      <c r="C29" s="103">
        <f>C27/1000</f>
        <v>0</v>
      </c>
      <c r="D29" s="103">
        <f>D27/1000</f>
        <v>0</v>
      </c>
      <c r="E29" s="103">
        <f>E27/1000</f>
        <v>0</v>
      </c>
      <c r="F29" s="103">
        <f>F27/1000</f>
        <v>0</v>
      </c>
      <c r="G29" s="103">
        <f>G27/1000</f>
        <v>0</v>
      </c>
    </row>
    <row r="30" spans="1:7" s="95" customFormat="1" x14ac:dyDescent="0.3">
      <c r="A30" s="87"/>
    </row>
    <row r="31" spans="1:7" s="52" customFormat="1" ht="12" x14ac:dyDescent="0.3">
      <c r="A31" s="53"/>
      <c r="C31" s="161"/>
      <c r="D31" s="161"/>
      <c r="E31" s="161"/>
      <c r="F31" s="161"/>
      <c r="G31" s="161"/>
    </row>
    <row r="32" spans="1:7" s="95" customFormat="1" x14ac:dyDescent="0.3">
      <c r="A32" s="87"/>
    </row>
    <row r="33" spans="1:37" s="389" customFormat="1" ht="23.4" customHeight="1" x14ac:dyDescent="0.3">
      <c r="A33" s="460" t="s">
        <v>553</v>
      </c>
      <c r="B33" s="460"/>
      <c r="C33" s="386"/>
      <c r="D33" s="386"/>
      <c r="E33" s="386"/>
      <c r="F33" s="387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  <c r="AC33" s="386"/>
      <c r="AD33" s="386"/>
      <c r="AE33" s="386"/>
      <c r="AF33" s="386"/>
      <c r="AG33" s="386"/>
      <c r="AH33" s="386"/>
      <c r="AI33" s="386"/>
      <c r="AJ33" s="388"/>
      <c r="AK33" s="388"/>
    </row>
    <row r="34" spans="1:37" s="389" customFormat="1" x14ac:dyDescent="0.3">
      <c r="A34" s="385"/>
      <c r="B34" s="386"/>
      <c r="C34" s="386"/>
      <c r="D34" s="386"/>
      <c r="E34" s="386"/>
      <c r="F34" s="387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  <c r="AC34" s="386"/>
      <c r="AD34" s="386"/>
      <c r="AE34" s="386"/>
      <c r="AF34" s="386"/>
      <c r="AG34" s="386"/>
      <c r="AH34" s="386"/>
      <c r="AI34" s="386"/>
      <c r="AJ34" s="388"/>
      <c r="AK34" s="388"/>
    </row>
    <row r="35" spans="1:37" s="389" customFormat="1" ht="27" customHeight="1" x14ac:dyDescent="0.3">
      <c r="A35" s="460" t="s">
        <v>130</v>
      </c>
      <c r="B35" s="460"/>
      <c r="C35" s="386"/>
      <c r="D35" s="386"/>
      <c r="E35" s="386"/>
      <c r="F35" s="387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  <c r="AC35" s="386"/>
      <c r="AD35" s="386"/>
      <c r="AE35" s="386"/>
      <c r="AF35" s="386"/>
      <c r="AG35" s="386"/>
      <c r="AH35" s="386"/>
      <c r="AI35" s="386"/>
      <c r="AJ35" s="388"/>
      <c r="AK35" s="388"/>
    </row>
    <row r="36" spans="1:37" s="95" customFormat="1" x14ac:dyDescent="0.3">
      <c r="A36" s="87"/>
    </row>
    <row r="37" spans="1:37" s="95" customFormat="1" x14ac:dyDescent="0.3">
      <c r="A37" s="87"/>
    </row>
    <row r="38" spans="1:37" s="95" customFormat="1" x14ac:dyDescent="0.3">
      <c r="A38" s="87"/>
    </row>
    <row r="39" spans="1:37" s="95" customFormat="1" x14ac:dyDescent="0.3">
      <c r="A39" s="87"/>
    </row>
    <row r="40" spans="1:37" s="95" customFormat="1" x14ac:dyDescent="0.3">
      <c r="A40" s="87"/>
    </row>
    <row r="41" spans="1:37" s="95" customFormat="1" x14ac:dyDescent="0.3">
      <c r="A41" s="87"/>
    </row>
    <row r="42" spans="1:37" s="95" customFormat="1" x14ac:dyDescent="0.3">
      <c r="A42" s="87"/>
    </row>
    <row r="43" spans="1:37" s="95" customFormat="1" x14ac:dyDescent="0.3">
      <c r="A43" s="87"/>
    </row>
    <row r="44" spans="1:37" s="95" customFormat="1" x14ac:dyDescent="0.3">
      <c r="A44" s="87"/>
    </row>
    <row r="45" spans="1:37" s="95" customFormat="1" x14ac:dyDescent="0.3">
      <c r="A45" s="87"/>
    </row>
    <row r="46" spans="1:37" s="95" customFormat="1" x14ac:dyDescent="0.3">
      <c r="A46" s="87"/>
    </row>
    <row r="47" spans="1:37" s="95" customFormat="1" x14ac:dyDescent="0.3">
      <c r="A47" s="87"/>
    </row>
    <row r="48" spans="1:37" s="95" customFormat="1" x14ac:dyDescent="0.3">
      <c r="A48" s="87"/>
    </row>
    <row r="49" spans="1:1" s="95" customFormat="1" x14ac:dyDescent="0.3">
      <c r="A49" s="87"/>
    </row>
    <row r="50" spans="1:1" s="95" customFormat="1" x14ac:dyDescent="0.3">
      <c r="A50" s="87"/>
    </row>
    <row r="51" spans="1:1" s="95" customFormat="1" x14ac:dyDescent="0.3">
      <c r="A51" s="87"/>
    </row>
    <row r="52" spans="1:1" s="95" customFormat="1" x14ac:dyDescent="0.3">
      <c r="A52" s="87"/>
    </row>
    <row r="53" spans="1:1" s="95" customFormat="1" x14ac:dyDescent="0.3">
      <c r="A53" s="87"/>
    </row>
    <row r="54" spans="1:1" s="95" customFormat="1" x14ac:dyDescent="0.3">
      <c r="A54" s="87"/>
    </row>
    <row r="55" spans="1:1" s="95" customFormat="1" x14ac:dyDescent="0.3">
      <c r="A55" s="87"/>
    </row>
    <row r="56" spans="1:1" s="95" customFormat="1" x14ac:dyDescent="0.3">
      <c r="A56" s="87"/>
    </row>
    <row r="57" spans="1:1" s="95" customFormat="1" x14ac:dyDescent="0.3">
      <c r="A57" s="87"/>
    </row>
    <row r="58" spans="1:1" s="95" customFormat="1" x14ac:dyDescent="0.3">
      <c r="A58" s="87"/>
    </row>
    <row r="59" spans="1:1" s="95" customFormat="1" x14ac:dyDescent="0.3">
      <c r="A59" s="87"/>
    </row>
    <row r="60" spans="1:1" s="95" customFormat="1" x14ac:dyDescent="0.3">
      <c r="A60" s="87"/>
    </row>
    <row r="61" spans="1:1" s="95" customFormat="1" x14ac:dyDescent="0.3">
      <c r="A61" s="87"/>
    </row>
    <row r="62" spans="1:1" s="95" customFormat="1" x14ac:dyDescent="0.3">
      <c r="A62" s="87"/>
    </row>
    <row r="63" spans="1:1" s="95" customFormat="1" x14ac:dyDescent="0.3">
      <c r="A63" s="87"/>
    </row>
    <row r="64" spans="1:1" s="95" customFormat="1" x14ac:dyDescent="0.3">
      <c r="A64" s="87"/>
    </row>
    <row r="65" spans="1:1" s="95" customFormat="1" x14ac:dyDescent="0.3">
      <c r="A65" s="87"/>
    </row>
  </sheetData>
  <mergeCells count="4">
    <mergeCell ref="A33:B33"/>
    <mergeCell ref="A35:B35"/>
    <mergeCell ref="A6:A27"/>
    <mergeCell ref="D4:G4"/>
  </mergeCells>
  <pageMargins left="0.39370078740157483" right="0.39370078740157483" top="0.39370078740157483" bottom="0.39370078740157483" header="0.31496062992125984" footer="0.31496062992125984"/>
  <pageSetup paperSize="9" scale="6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0"/>
  <sheetViews>
    <sheetView view="pageBreakPreview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A5" sqref="A5:XFD5"/>
    </sheetView>
  </sheetViews>
  <sheetFormatPr defaultColWidth="9.109375" defaultRowHeight="13.8" x14ac:dyDescent="0.25"/>
  <cols>
    <col min="1" max="1" width="4.109375" style="5" customWidth="1"/>
    <col min="2" max="2" width="26.77734375" style="1" customWidth="1"/>
    <col min="3" max="7" width="14.6640625" style="1" customWidth="1"/>
    <col min="8" max="16384" width="9.109375" style="1"/>
  </cols>
  <sheetData>
    <row r="1" spans="1:7" x14ac:dyDescent="0.25">
      <c r="B1" s="4" t="s">
        <v>95</v>
      </c>
    </row>
    <row r="2" spans="1:7" ht="17.25" customHeight="1" x14ac:dyDescent="0.25">
      <c r="A2" s="319" t="str">
        <f>'ст.211,212,213'!A2:B2</f>
        <v>Средства местного бюджета на 2024-2027 годы</v>
      </c>
      <c r="B2" s="319"/>
    </row>
    <row r="3" spans="1:7" s="88" customFormat="1" ht="17.25" customHeight="1" x14ac:dyDescent="0.25">
      <c r="A3" s="90"/>
      <c r="B3" s="374"/>
      <c r="C3" s="77"/>
      <c r="D3" s="77"/>
      <c r="E3" s="77"/>
      <c r="F3" s="77"/>
      <c r="G3" s="87" t="s">
        <v>153</v>
      </c>
    </row>
    <row r="4" spans="1:7" s="53" customFormat="1" ht="25.2" customHeight="1" x14ac:dyDescent="0.3">
      <c r="A4" s="175"/>
      <c r="B4" s="6"/>
      <c r="C4" s="412"/>
      <c r="D4" s="456" t="s">
        <v>554</v>
      </c>
      <c r="E4" s="457"/>
      <c r="F4" s="457"/>
      <c r="G4" s="458"/>
    </row>
    <row r="5" spans="1:7" s="433" customFormat="1" ht="27" customHeight="1" x14ac:dyDescent="0.25">
      <c r="A5" s="431"/>
      <c r="B5" s="432"/>
      <c r="C5" s="430" t="str">
        <f>СВОД!B4</f>
        <v>2024 (ПФХД на 01.01.2024)</v>
      </c>
      <c r="D5" s="430" t="str">
        <f>СВОД!C4</f>
        <v>2024 ож.факт</v>
      </c>
      <c r="E5" s="430">
        <f>СВОД!D4</f>
        <v>2025</v>
      </c>
      <c r="F5" s="430">
        <f>СВОД!E4</f>
        <v>2026</v>
      </c>
      <c r="G5" s="430">
        <f>СВОД!F4</f>
        <v>2027</v>
      </c>
    </row>
    <row r="6" spans="1:7" s="26" customFormat="1" ht="12" x14ac:dyDescent="0.3">
      <c r="A6" s="440">
        <v>223</v>
      </c>
      <c r="B6" s="11" t="s">
        <v>2</v>
      </c>
      <c r="C6" s="19">
        <f>ROUND(C7*C8,2)</f>
        <v>0</v>
      </c>
      <c r="D6" s="19">
        <f t="shared" ref="D6:G6" si="0">ROUND(D7*D8,2)</f>
        <v>0</v>
      </c>
      <c r="E6" s="19">
        <f t="shared" si="0"/>
        <v>0</v>
      </c>
      <c r="F6" s="19">
        <f t="shared" si="0"/>
        <v>0</v>
      </c>
      <c r="G6" s="19">
        <f t="shared" si="0"/>
        <v>0</v>
      </c>
    </row>
    <row r="7" spans="1:7" s="264" customFormat="1" ht="12" x14ac:dyDescent="0.3">
      <c r="A7" s="440"/>
      <c r="B7" s="262" t="s">
        <v>164</v>
      </c>
      <c r="C7" s="263"/>
      <c r="D7" s="263"/>
      <c r="E7" s="263"/>
      <c r="F7" s="263"/>
      <c r="G7" s="263"/>
    </row>
    <row r="8" spans="1:7" s="80" customFormat="1" ht="12" x14ac:dyDescent="0.3">
      <c r="A8" s="440"/>
      <c r="B8" s="79" t="s">
        <v>167</v>
      </c>
      <c r="C8" s="55"/>
      <c r="D8" s="55"/>
      <c r="E8" s="55"/>
      <c r="F8" s="55"/>
      <c r="G8" s="55"/>
    </row>
    <row r="9" spans="1:7" s="26" customFormat="1" ht="12" x14ac:dyDescent="0.3">
      <c r="A9" s="440"/>
      <c r="B9" s="11" t="s">
        <v>3</v>
      </c>
      <c r="C9" s="19">
        <f>ROUND(C10*C11,2)</f>
        <v>0</v>
      </c>
      <c r="D9" s="19">
        <f t="shared" ref="D9:G9" si="1">ROUND(D10*D11,2)</f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</row>
    <row r="10" spans="1:7" s="80" customFormat="1" ht="12" x14ac:dyDescent="0.3">
      <c r="A10" s="440"/>
      <c r="B10" s="79" t="s">
        <v>83</v>
      </c>
      <c r="C10" s="263"/>
      <c r="D10" s="263"/>
      <c r="E10" s="263"/>
      <c r="F10" s="263"/>
      <c r="G10" s="263"/>
    </row>
    <row r="11" spans="1:7" s="58" customFormat="1" ht="12" x14ac:dyDescent="0.3">
      <c r="A11" s="440"/>
      <c r="B11" s="54" t="s">
        <v>168</v>
      </c>
      <c r="C11" s="55"/>
      <c r="D11" s="55"/>
      <c r="E11" s="55"/>
      <c r="F11" s="55"/>
      <c r="G11" s="55"/>
    </row>
    <row r="12" spans="1:7" s="26" customFormat="1" ht="12" x14ac:dyDescent="0.3">
      <c r="A12" s="440"/>
      <c r="B12" s="11" t="s">
        <v>131</v>
      </c>
      <c r="C12" s="19">
        <f>ROUND(C13*C14,2)</f>
        <v>0</v>
      </c>
      <c r="D12" s="19">
        <f t="shared" ref="D12:G12" si="2">ROUND(D13*D14,2)</f>
        <v>0</v>
      </c>
      <c r="E12" s="19">
        <f t="shared" si="2"/>
        <v>0</v>
      </c>
      <c r="F12" s="19">
        <f t="shared" si="2"/>
        <v>0</v>
      </c>
      <c r="G12" s="19">
        <f t="shared" si="2"/>
        <v>0</v>
      </c>
    </row>
    <row r="13" spans="1:7" s="80" customFormat="1" ht="12" x14ac:dyDescent="0.3">
      <c r="A13" s="440"/>
      <c r="B13" s="79" t="s">
        <v>165</v>
      </c>
      <c r="C13" s="68"/>
      <c r="D13" s="68"/>
      <c r="E13" s="68"/>
      <c r="F13" s="68"/>
      <c r="G13" s="68"/>
    </row>
    <row r="14" spans="1:7" s="58" customFormat="1" ht="12" x14ac:dyDescent="0.3">
      <c r="A14" s="440"/>
      <c r="B14" s="54" t="s">
        <v>166</v>
      </c>
      <c r="C14" s="57"/>
      <c r="D14" s="57"/>
      <c r="E14" s="57"/>
      <c r="F14" s="57"/>
      <c r="G14" s="57"/>
    </row>
    <row r="15" spans="1:7" s="26" customFormat="1" ht="12" x14ac:dyDescent="0.3">
      <c r="A15" s="440"/>
      <c r="B15" s="11" t="s">
        <v>465</v>
      </c>
      <c r="C15" s="19">
        <f>ROUND(C16*C17,2)</f>
        <v>0</v>
      </c>
      <c r="D15" s="19">
        <f t="shared" ref="D15:G15" si="3">ROUND(D16*D17,2)</f>
        <v>0</v>
      </c>
      <c r="E15" s="19">
        <f t="shared" si="3"/>
        <v>0</v>
      </c>
      <c r="F15" s="19">
        <f t="shared" si="3"/>
        <v>0</v>
      </c>
      <c r="G15" s="19">
        <f t="shared" si="3"/>
        <v>0</v>
      </c>
    </row>
    <row r="16" spans="1:7" s="264" customFormat="1" ht="12" x14ac:dyDescent="0.3">
      <c r="A16" s="440"/>
      <c r="B16" s="262" t="s">
        <v>165</v>
      </c>
      <c r="C16" s="263"/>
      <c r="D16" s="263"/>
      <c r="E16" s="263"/>
      <c r="F16" s="263"/>
      <c r="G16" s="263"/>
    </row>
    <row r="17" spans="1:7" s="58" customFormat="1" ht="12" x14ac:dyDescent="0.3">
      <c r="A17" s="440"/>
      <c r="B17" s="54" t="s">
        <v>166</v>
      </c>
      <c r="C17" s="55"/>
      <c r="D17" s="55"/>
      <c r="E17" s="55"/>
      <c r="F17" s="55"/>
      <c r="G17" s="55"/>
    </row>
    <row r="18" spans="1:7" s="26" customFormat="1" ht="12" x14ac:dyDescent="0.3">
      <c r="A18" s="440"/>
      <c r="B18" s="11" t="s">
        <v>466</v>
      </c>
      <c r="C18" s="19">
        <f>C19+C22</f>
        <v>0</v>
      </c>
      <c r="D18" s="19">
        <f t="shared" ref="D18:G18" si="4">D19+D22</f>
        <v>0</v>
      </c>
      <c r="E18" s="19">
        <f t="shared" si="4"/>
        <v>0</v>
      </c>
      <c r="F18" s="19">
        <f t="shared" si="4"/>
        <v>0</v>
      </c>
      <c r="G18" s="19">
        <f t="shared" si="4"/>
        <v>0</v>
      </c>
    </row>
    <row r="19" spans="1:7" s="26" customFormat="1" ht="12" x14ac:dyDescent="0.3">
      <c r="A19" s="440"/>
      <c r="B19" s="11"/>
      <c r="C19" s="424">
        <f t="shared" ref="C19:G19" si="5">ROUND(C20*C21,2)</f>
        <v>0</v>
      </c>
      <c r="D19" s="424">
        <f t="shared" si="5"/>
        <v>0</v>
      </c>
      <c r="E19" s="424">
        <f t="shared" si="5"/>
        <v>0</v>
      </c>
      <c r="F19" s="424">
        <f t="shared" si="5"/>
        <v>0</v>
      </c>
      <c r="G19" s="424">
        <f t="shared" si="5"/>
        <v>0</v>
      </c>
    </row>
    <row r="20" spans="1:7" s="80" customFormat="1" ht="12" x14ac:dyDescent="0.3">
      <c r="A20" s="440"/>
      <c r="B20" s="79" t="s">
        <v>165</v>
      </c>
      <c r="C20" s="68"/>
      <c r="D20" s="68"/>
      <c r="E20" s="68"/>
      <c r="F20" s="68"/>
      <c r="G20" s="68"/>
    </row>
    <row r="21" spans="1:7" s="58" customFormat="1" ht="12" x14ac:dyDescent="0.3">
      <c r="A21" s="440"/>
      <c r="B21" s="54" t="s">
        <v>166</v>
      </c>
      <c r="C21" s="57"/>
      <c r="D21" s="57"/>
      <c r="E21" s="57"/>
      <c r="F21" s="57"/>
      <c r="G21" s="57"/>
    </row>
    <row r="22" spans="1:7" s="58" customFormat="1" ht="12" x14ac:dyDescent="0.3">
      <c r="A22" s="440"/>
      <c r="B22" s="54"/>
      <c r="C22" s="424">
        <f t="shared" ref="C22:G22" si="6">ROUND(C23*C24,2)</f>
        <v>0</v>
      </c>
      <c r="D22" s="424">
        <f t="shared" si="6"/>
        <v>0</v>
      </c>
      <c r="E22" s="424">
        <f t="shared" si="6"/>
        <v>0</v>
      </c>
      <c r="F22" s="424">
        <f t="shared" si="6"/>
        <v>0</v>
      </c>
      <c r="G22" s="424">
        <f t="shared" si="6"/>
        <v>0</v>
      </c>
    </row>
    <row r="23" spans="1:7" s="58" customFormat="1" ht="12" x14ac:dyDescent="0.3">
      <c r="A23" s="440"/>
      <c r="B23" s="54" t="s">
        <v>83</v>
      </c>
      <c r="C23" s="68"/>
      <c r="D23" s="68"/>
      <c r="E23" s="68"/>
      <c r="F23" s="68"/>
      <c r="G23" s="68"/>
    </row>
    <row r="24" spans="1:7" s="58" customFormat="1" ht="12" x14ac:dyDescent="0.3">
      <c r="A24" s="440"/>
      <c r="B24" s="54" t="s">
        <v>166</v>
      </c>
      <c r="C24" s="57"/>
      <c r="D24" s="57"/>
      <c r="E24" s="57"/>
      <c r="F24" s="57"/>
      <c r="G24" s="57"/>
    </row>
    <row r="25" spans="1:7" s="26" customFormat="1" ht="12" x14ac:dyDescent="0.3">
      <c r="A25" s="440"/>
      <c r="B25" s="11" t="s">
        <v>5</v>
      </c>
      <c r="C25" s="19">
        <f>ROUND(C26*C27,2)</f>
        <v>0</v>
      </c>
      <c r="D25" s="19">
        <f t="shared" ref="D25:G25" si="7">ROUND(D26*D27,2)</f>
        <v>0</v>
      </c>
      <c r="E25" s="19">
        <f t="shared" si="7"/>
        <v>0</v>
      </c>
      <c r="F25" s="19">
        <f t="shared" si="7"/>
        <v>0</v>
      </c>
      <c r="G25" s="19">
        <f t="shared" si="7"/>
        <v>0</v>
      </c>
    </row>
    <row r="26" spans="1:7" s="264" customFormat="1" ht="12" x14ac:dyDescent="0.3">
      <c r="A26" s="440"/>
      <c r="B26" s="262" t="s">
        <v>165</v>
      </c>
      <c r="C26" s="263"/>
      <c r="D26" s="263"/>
      <c r="E26" s="263"/>
      <c r="F26" s="263"/>
      <c r="G26" s="263"/>
    </row>
    <row r="27" spans="1:7" s="58" customFormat="1" ht="12" x14ac:dyDescent="0.3">
      <c r="A27" s="440"/>
      <c r="B27" s="54" t="s">
        <v>166</v>
      </c>
      <c r="C27" s="55"/>
      <c r="D27" s="55"/>
      <c r="E27" s="55"/>
      <c r="F27" s="55"/>
      <c r="G27" s="55"/>
    </row>
    <row r="28" spans="1:7" s="13" customFormat="1" ht="12" x14ac:dyDescent="0.3">
      <c r="A28" s="440"/>
      <c r="B28" s="11" t="s">
        <v>559</v>
      </c>
      <c r="C28" s="19">
        <f>ROUND(C29*C30,2)</f>
        <v>0</v>
      </c>
      <c r="D28" s="19">
        <f t="shared" ref="D28:G28" si="8">ROUND(D29*D30,2)</f>
        <v>0</v>
      </c>
      <c r="E28" s="19">
        <f t="shared" si="8"/>
        <v>0</v>
      </c>
      <c r="F28" s="19">
        <f t="shared" si="8"/>
        <v>0</v>
      </c>
      <c r="G28" s="19">
        <f t="shared" si="8"/>
        <v>0</v>
      </c>
    </row>
    <row r="29" spans="1:7" s="80" customFormat="1" ht="12" x14ac:dyDescent="0.3">
      <c r="A29" s="440"/>
      <c r="B29" s="262" t="s">
        <v>165</v>
      </c>
      <c r="C29" s="68"/>
      <c r="D29" s="68"/>
      <c r="E29" s="68"/>
      <c r="F29" s="68"/>
      <c r="G29" s="68"/>
    </row>
    <row r="30" spans="1:7" s="58" customFormat="1" ht="12" x14ac:dyDescent="0.3">
      <c r="A30" s="440"/>
      <c r="B30" s="54" t="s">
        <v>166</v>
      </c>
      <c r="C30" s="57"/>
      <c r="D30" s="57"/>
      <c r="E30" s="57"/>
      <c r="F30" s="57"/>
      <c r="G30" s="57"/>
    </row>
    <row r="31" spans="1:7" s="26" customFormat="1" ht="12" x14ac:dyDescent="0.3">
      <c r="A31" s="440"/>
      <c r="B31" s="11" t="s">
        <v>25</v>
      </c>
      <c r="C31" s="19">
        <f>ROUND(C32*C33,2)</f>
        <v>0</v>
      </c>
      <c r="D31" s="19">
        <f t="shared" ref="D31:G31" si="9">ROUND(D32*D33,2)</f>
        <v>0</v>
      </c>
      <c r="E31" s="19">
        <f t="shared" si="9"/>
        <v>0</v>
      </c>
      <c r="F31" s="19">
        <f t="shared" si="9"/>
        <v>0</v>
      </c>
      <c r="G31" s="19">
        <f t="shared" si="9"/>
        <v>0</v>
      </c>
    </row>
    <row r="32" spans="1:7" s="80" customFormat="1" ht="12" x14ac:dyDescent="0.3">
      <c r="A32" s="440"/>
      <c r="B32" s="262" t="s">
        <v>165</v>
      </c>
      <c r="C32" s="68"/>
      <c r="D32" s="68"/>
      <c r="E32" s="68"/>
      <c r="F32" s="68"/>
      <c r="G32" s="68"/>
    </row>
    <row r="33" spans="1:37" s="58" customFormat="1" ht="12" x14ac:dyDescent="0.3">
      <c r="A33" s="440"/>
      <c r="B33" s="54" t="s">
        <v>166</v>
      </c>
      <c r="C33" s="57"/>
      <c r="D33" s="57"/>
      <c r="E33" s="57"/>
      <c r="F33" s="57"/>
      <c r="G33" s="57"/>
    </row>
    <row r="34" spans="1:37" s="403" customFormat="1" ht="11.4" customHeight="1" x14ac:dyDescent="0.3">
      <c r="A34" s="440"/>
      <c r="B34" s="401"/>
      <c r="C34" s="402"/>
      <c r="D34" s="402"/>
      <c r="E34" s="402"/>
      <c r="F34" s="402"/>
      <c r="G34" s="402"/>
    </row>
    <row r="35" spans="1:37" s="403" customFormat="1" ht="11.4" customHeight="1" x14ac:dyDescent="0.3">
      <c r="A35" s="440"/>
      <c r="B35" s="401"/>
      <c r="C35" s="402"/>
      <c r="D35" s="402"/>
      <c r="E35" s="402"/>
      <c r="F35" s="402"/>
      <c r="G35" s="402"/>
    </row>
    <row r="36" spans="1:37" s="403" customFormat="1" ht="11.4" customHeight="1" x14ac:dyDescent="0.3">
      <c r="A36" s="440"/>
      <c r="B36" s="401"/>
      <c r="C36" s="402"/>
      <c r="D36" s="402"/>
      <c r="E36" s="402"/>
      <c r="F36" s="402"/>
      <c r="G36" s="402"/>
    </row>
    <row r="37" spans="1:37" s="403" customFormat="1" ht="11.4" customHeight="1" x14ac:dyDescent="0.3">
      <c r="A37" s="440"/>
      <c r="B37" s="401"/>
      <c r="C37" s="402"/>
      <c r="D37" s="402"/>
      <c r="E37" s="402"/>
      <c r="F37" s="402"/>
      <c r="G37" s="402"/>
    </row>
    <row r="38" spans="1:37" s="403" customFormat="1" ht="11.4" customHeight="1" x14ac:dyDescent="0.3">
      <c r="A38" s="440"/>
      <c r="B38" s="401"/>
      <c r="C38" s="402"/>
      <c r="D38" s="402"/>
      <c r="E38" s="402"/>
      <c r="F38" s="402"/>
      <c r="G38" s="402"/>
    </row>
    <row r="39" spans="1:37" s="403" customFormat="1" ht="11.4" customHeight="1" x14ac:dyDescent="0.3">
      <c r="A39" s="440"/>
      <c r="B39" s="401"/>
      <c r="C39" s="402"/>
      <c r="D39" s="402"/>
      <c r="E39" s="402"/>
      <c r="F39" s="402"/>
      <c r="G39" s="402"/>
    </row>
    <row r="40" spans="1:37" s="403" customFormat="1" ht="11.4" customHeight="1" x14ac:dyDescent="0.3">
      <c r="A40" s="440"/>
      <c r="B40" s="401"/>
      <c r="C40" s="402"/>
      <c r="D40" s="402"/>
      <c r="E40" s="402"/>
      <c r="F40" s="402"/>
      <c r="G40" s="402"/>
    </row>
    <row r="41" spans="1:37" s="403" customFormat="1" ht="11.4" customHeight="1" x14ac:dyDescent="0.3">
      <c r="A41" s="440"/>
      <c r="B41" s="401"/>
      <c r="C41" s="402"/>
      <c r="D41" s="402"/>
      <c r="E41" s="402"/>
      <c r="F41" s="402"/>
      <c r="G41" s="402"/>
    </row>
    <row r="42" spans="1:37" s="403" customFormat="1" ht="11.4" customHeight="1" x14ac:dyDescent="0.3">
      <c r="A42" s="440"/>
      <c r="B42" s="401"/>
      <c r="C42" s="402"/>
      <c r="D42" s="402"/>
      <c r="E42" s="402"/>
      <c r="F42" s="402"/>
      <c r="G42" s="402"/>
    </row>
    <row r="43" spans="1:37" s="154" customFormat="1" ht="22.2" customHeight="1" x14ac:dyDescent="0.3">
      <c r="A43" s="440"/>
      <c r="B43" s="16" t="s">
        <v>90</v>
      </c>
      <c r="C43" s="328">
        <f>C6+C9+C12+C15+C18+C25+C31+C28+C34+C35+C36+C37+C38+C39+C40+C41+C42</f>
        <v>0</v>
      </c>
      <c r="D43" s="328">
        <f>D6+D9+D12+D15+D18+D25+D31+D28+D34+D35+D36+D37+D38+D39+D40+D41+D42</f>
        <v>0</v>
      </c>
      <c r="E43" s="328">
        <f>E6+E9+E12+E15+E18+E25+E31+E28+E34+E35+E36+E37+E38+E39+E40+E41+E42</f>
        <v>0</v>
      </c>
      <c r="F43" s="328">
        <f>F6+F9+F12+F15+F18+F25+F31+F28+F34+F35+F36+F37+F38+F39+F40+F41+F42</f>
        <v>0</v>
      </c>
      <c r="G43" s="328">
        <f>G6+G9+G12+G15+G18+G25+G31+G28+G34+G35+G36+G37+G38+G39+G40+G41+G42</f>
        <v>0</v>
      </c>
    </row>
    <row r="45" spans="1:37" s="98" customFormat="1" ht="27.6" x14ac:dyDescent="0.3">
      <c r="A45" s="97"/>
      <c r="B45" s="97" t="s">
        <v>154</v>
      </c>
      <c r="C45" s="103">
        <f>C43/1000</f>
        <v>0</v>
      </c>
      <c r="D45" s="103">
        <f>D43/1000</f>
        <v>0</v>
      </c>
      <c r="E45" s="103">
        <f>E43/1000</f>
        <v>0</v>
      </c>
      <c r="F45" s="103">
        <f>F43/1000</f>
        <v>0</v>
      </c>
      <c r="G45" s="103">
        <f>G43/1000</f>
        <v>0</v>
      </c>
    </row>
    <row r="47" spans="1:37" s="2" customFormat="1" ht="12" x14ac:dyDescent="0.25">
      <c r="A47" s="61"/>
      <c r="C47" s="261"/>
      <c r="D47" s="261"/>
      <c r="E47" s="261"/>
      <c r="F47" s="261"/>
      <c r="G47" s="261"/>
    </row>
    <row r="48" spans="1:37" s="389" customFormat="1" ht="23.4" customHeight="1" x14ac:dyDescent="0.3">
      <c r="A48" s="460" t="s">
        <v>553</v>
      </c>
      <c r="B48" s="460"/>
      <c r="C48" s="386"/>
      <c r="D48" s="386"/>
      <c r="E48" s="386"/>
      <c r="F48" s="387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  <c r="AC48" s="386"/>
      <c r="AD48" s="386"/>
      <c r="AE48" s="386"/>
      <c r="AF48" s="386"/>
      <c r="AG48" s="386"/>
      <c r="AH48" s="386"/>
      <c r="AI48" s="386"/>
      <c r="AJ48" s="388"/>
      <c r="AK48" s="388"/>
    </row>
    <row r="49" spans="1:37" s="389" customFormat="1" x14ac:dyDescent="0.3">
      <c r="A49" s="385"/>
      <c r="B49" s="386"/>
      <c r="C49" s="386"/>
      <c r="D49" s="386"/>
      <c r="E49" s="386"/>
      <c r="F49" s="387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  <c r="AC49" s="386"/>
      <c r="AD49" s="386"/>
      <c r="AE49" s="386"/>
      <c r="AF49" s="386"/>
      <c r="AG49" s="386"/>
      <c r="AH49" s="386"/>
      <c r="AI49" s="386"/>
      <c r="AJ49" s="388"/>
      <c r="AK49" s="388"/>
    </row>
    <row r="50" spans="1:37" s="389" customFormat="1" ht="27" customHeight="1" x14ac:dyDescent="0.3">
      <c r="A50" s="460" t="s">
        <v>130</v>
      </c>
      <c r="B50" s="460"/>
      <c r="C50" s="386"/>
      <c r="D50" s="386"/>
      <c r="E50" s="386"/>
      <c r="F50" s="387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  <c r="AC50" s="386"/>
      <c r="AD50" s="386"/>
      <c r="AE50" s="386"/>
      <c r="AF50" s="386"/>
      <c r="AG50" s="386"/>
      <c r="AH50" s="386"/>
      <c r="AI50" s="386"/>
      <c r="AJ50" s="388"/>
      <c r="AK50" s="388"/>
    </row>
  </sheetData>
  <mergeCells count="4">
    <mergeCell ref="A48:B48"/>
    <mergeCell ref="A50:B50"/>
    <mergeCell ref="A6:A43"/>
    <mergeCell ref="D4:G4"/>
  </mergeCells>
  <pageMargins left="0.39370078740157483" right="0.39370078740157483" top="0.39370078740157483" bottom="0.39370078740157483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36</vt:i4>
      </vt:variant>
    </vt:vector>
  </HeadingPairs>
  <TitlesOfParts>
    <vt:vector size="62" baseType="lpstr">
      <vt:lpstr>Бюджет-2017 г</vt:lpstr>
      <vt:lpstr>доп.ср-ва (в ФУ)</vt:lpstr>
      <vt:lpstr>доп.ср-ва</vt:lpstr>
      <vt:lpstr>СВОД</vt:lpstr>
      <vt:lpstr>СВОД (без МРОТ)</vt:lpstr>
      <vt:lpstr>ст.211,212,213</vt:lpstr>
      <vt:lpstr>ст.221</vt:lpstr>
      <vt:lpstr>ст.222</vt:lpstr>
      <vt:lpstr>ст.223</vt:lpstr>
      <vt:lpstr>ст.225</vt:lpstr>
      <vt:lpstr>ст.226-227</vt:lpstr>
      <vt:lpstr>ст.290</vt:lpstr>
      <vt:lpstr>ст.310</vt:lpstr>
      <vt:lpstr>ст.340 </vt:lpstr>
      <vt:lpstr>ШС1</vt:lpstr>
      <vt:lpstr>ШС2</vt:lpstr>
      <vt:lpstr>ШС3</vt:lpstr>
      <vt:lpstr>ШС4</vt:lpstr>
      <vt:lpstr>ШС5</vt:lpstr>
      <vt:lpstr>ШО2</vt:lpstr>
      <vt:lpstr>ШО2 (2)</vt:lpstr>
      <vt:lpstr>ШО3</vt:lpstr>
      <vt:lpstr>ШН2</vt:lpstr>
      <vt:lpstr>ст.211,212,213 (2)</vt:lpstr>
      <vt:lpstr>ст.225 (2)</vt:lpstr>
      <vt:lpstr>СВОД (2)</vt:lpstr>
      <vt:lpstr>СВОД!Заголовки_для_печати</vt:lpstr>
      <vt:lpstr>'СВОД (без МРОТ)'!Заголовки_для_печати</vt:lpstr>
      <vt:lpstr>'ст.211,212,213'!Заголовки_для_печати</vt:lpstr>
      <vt:lpstr>ст.221!Заголовки_для_печати</vt:lpstr>
      <vt:lpstr>ст.222!Заголовки_для_печати</vt:lpstr>
      <vt:lpstr>ст.223!Заголовки_для_печати</vt:lpstr>
      <vt:lpstr>ст.225!Заголовки_для_печати</vt:lpstr>
      <vt:lpstr>'ст.226-227'!Заголовки_для_печати</vt:lpstr>
      <vt:lpstr>ст.290!Заголовки_для_печати</vt:lpstr>
      <vt:lpstr>ст.310!Заголовки_для_печати</vt:lpstr>
      <vt:lpstr>'ст.340 '!Заголовки_для_печати</vt:lpstr>
      <vt:lpstr>'Бюджет-2017 г'!Область_печати</vt:lpstr>
      <vt:lpstr>'доп.ср-ва'!Область_печати</vt:lpstr>
      <vt:lpstr>'доп.ср-ва (в ФУ)'!Область_печати</vt:lpstr>
      <vt:lpstr>СВОД!Область_печати</vt:lpstr>
      <vt:lpstr>'СВОД (без МРОТ)'!Область_печати</vt:lpstr>
      <vt:lpstr>'ст.211,212,213'!Область_печати</vt:lpstr>
      <vt:lpstr>'ст.211,212,213 (2)'!Область_печати</vt:lpstr>
      <vt:lpstr>ст.221!Область_печати</vt:lpstr>
      <vt:lpstr>ст.222!Область_печати</vt:lpstr>
      <vt:lpstr>ст.223!Область_печати</vt:lpstr>
      <vt:lpstr>ст.225!Область_печати</vt:lpstr>
      <vt:lpstr>'ст.225 (2)'!Область_печати</vt:lpstr>
      <vt:lpstr>'ст.226-227'!Область_печати</vt:lpstr>
      <vt:lpstr>ст.290!Область_печати</vt:lpstr>
      <vt:lpstr>ст.310!Область_печати</vt:lpstr>
      <vt:lpstr>'ст.340 '!Область_печати</vt:lpstr>
      <vt:lpstr>ШН2!Область_печати</vt:lpstr>
      <vt:lpstr>ШО2!Область_печати</vt:lpstr>
      <vt:lpstr>'ШО2 (2)'!Область_печати</vt:lpstr>
      <vt:lpstr>ШО3!Область_печати</vt:lpstr>
      <vt:lpstr>ШС1!Область_печати</vt:lpstr>
      <vt:lpstr>ШС2!Область_печати</vt:lpstr>
      <vt:lpstr>ШС3!Область_печати</vt:lpstr>
      <vt:lpstr>ШС4!Область_печати</vt:lpstr>
      <vt:lpstr>ШС5!Область_печати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2019-09-23T07:39:27Z</cp:lastPrinted>
  <dcterms:created xsi:type="dcterms:W3CDTF">2013-10-11T16:24:21Z</dcterms:created>
  <dcterms:modified xsi:type="dcterms:W3CDTF">2024-08-08T06:02:48Z</dcterms:modified>
</cp:coreProperties>
</file>